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i6fzsGzhtsG4B8yfV4XjUbSzTxjelVOb4b/WbD9kbHfnTz72AJiGXxqX6qZCJzsBhMHHCKdW2I0fRww3PdeSkQ==" workbookSaltValue="i07XVBLUziUNdmbmMN0K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Y20" i="8"/>
  <c r="AE21" i="8"/>
  <c r="R21" i="8"/>
  <c r="BG10" i="8"/>
  <c r="AY14" i="8"/>
  <c r="F13" i="2"/>
  <c r="D9" i="6"/>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Q9" i="11" s="1"/>
  <c r="BH12" i="16"/>
  <c r="BK10" i="11"/>
  <c r="BK14" i="11" s="1"/>
  <c r="S16" i="17"/>
  <c r="L12" i="2"/>
  <c r="X19" i="16"/>
  <c r="L18" i="2"/>
  <c r="L19" i="2"/>
  <c r="U9" i="17"/>
  <c r="U21" i="17" s="1"/>
  <c r="L9" i="2"/>
  <c r="V9" i="16"/>
  <c r="X18" i="17"/>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J22" i="20"/>
  <c r="S22" i="20"/>
  <c r="AW22" i="11"/>
  <c r="AV22" i="21"/>
  <c r="AO22" i="20"/>
  <c r="P22" i="20"/>
  <c r="I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T22" i="20"/>
  <c r="R22" i="16"/>
  <c r="P22" i="21"/>
  <c r="K22" i="11"/>
  <c r="AE22" i="21"/>
  <c r="AS22" i="16"/>
  <c r="AK22" i="11"/>
  <c r="AJ22" i="16"/>
  <c r="BD22" i="21"/>
  <c r="H22" i="11"/>
  <c r="AO22" i="11"/>
  <c r="O22" i="17"/>
  <c r="F22" i="12"/>
  <c r="AH22" i="11"/>
  <c r="Q22" i="21"/>
  <c r="U22" i="17"/>
  <c r="E22" i="16"/>
  <c r="AV22" i="17"/>
  <c r="AA22" i="21"/>
  <c r="AW22" i="17"/>
  <c r="R22" i="11"/>
  <c r="AY22" i="11"/>
  <c r="S22" i="17"/>
  <c r="X22" i="21"/>
  <c r="AR22" i="20"/>
  <c r="AR22" i="11"/>
  <c r="AB22" i="17"/>
  <c r="AK22" i="16"/>
  <c r="L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L22" i="11"/>
  <c r="AC22" i="11"/>
  <c r="T22" i="16"/>
  <c r="L22" i="17"/>
  <c r="BF22" i="16"/>
  <c r="AA22" i="17"/>
  <c r="AO22" i="21"/>
  <c r="J22" i="12"/>
  <c r="AG22" i="11"/>
  <c r="AL22" i="21"/>
  <c r="BE22" i="16"/>
  <c r="P22" i="16"/>
  <c r="AC22" i="21"/>
  <c r="U22" i="16"/>
  <c r="AM22" i="16"/>
  <c r="AA22" i="16"/>
  <c r="U22" i="20"/>
  <c r="BI22" i="16"/>
  <c r="F22" i="17"/>
  <c r="AL22" i="17"/>
  <c r="F22" i="16"/>
  <c r="W22" i="11"/>
  <c r="U22" i="21"/>
  <c r="S22" i="16"/>
  <c r="R22" i="17"/>
  <c r="AM22" i="21"/>
  <c r="N22" i="16"/>
  <c r="Q22" i="17"/>
  <c r="AD22" i="17"/>
  <c r="AR22" i="21"/>
  <c r="AP22" i="16"/>
  <c r="AI22" i="11"/>
  <c r="M22" i="21"/>
  <c r="P22" i="11"/>
  <c r="AU22" i="16"/>
  <c r="BQ22" i="16"/>
  <c r="N22" i="17"/>
  <c r="AW22" i="21"/>
  <c r="Y22" i="16"/>
  <c r="V22" i="16"/>
  <c r="I22" i="17"/>
  <c r="AG22" i="16"/>
  <c r="AN22" i="21"/>
  <c r="Q22" i="16"/>
  <c r="M22" i="17"/>
  <c r="S22" i="11"/>
  <c r="S22" i="21"/>
  <c r="E22" i="17"/>
  <c r="AT22" i="17"/>
  <c r="O22" i="11"/>
  <c r="BD22" i="16"/>
  <c r="AF22" i="16"/>
  <c r="AI22" i="16"/>
  <c r="L22" i="11"/>
  <c r="F22" i="11"/>
  <c r="AO22" i="17"/>
  <c r="AY22" i="16"/>
  <c r="AW22" i="16"/>
  <c r="AK22" i="21"/>
  <c r="AB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<sst xmlns="http://schemas.openxmlformats.org/spreadsheetml/2006/main" count="2229" uniqueCount="979">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</sst>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zdBnj1st1zREv7m9WCFCwkvamHyOsachF6ssoxOWYtDpxtNRQdgtcG6Gwnej1J5mnZeN6RyeDC0QbnVDc6MMg==" saltValue="K/tF9E1tIevsClmWPP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15.756756756756758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290</v>
      </c>
      <c r="D17" s="230">
        <f>IF(ISNUMBER(IF(D_I="SI",Datos!I17,Datos!I17+Datos!AC17)),IF(D_I="SI",Datos!I17,Datos!I17+Datos!AC17)," - ")</f>
        <v>290</v>
      </c>
      <c r="E17" s="231">
        <f>IF(ISNUMBER(IF(D_I="SI",Datos!J17,Datos!J17+Datos!AD17)),IF(D_I="SI",Datos!J17,Datos!J17+Datos!AD17)," - ")</f>
        <v>183</v>
      </c>
      <c r="F17" s="231">
        <f>IF(ISNUMBER(IF(D_I="SI",Datos!K17,Datos!K17+Datos!AE17)),IF(D_I="SI",Datos!K17,Datos!K17+Datos!AE17)," - ")</f>
        <v>127</v>
      </c>
      <c r="G17" s="1193" t="str">
        <f>IF(Datos!E17&lt;&gt;"",Datos!E17,Datos!D17)</f>
        <v>04</v>
      </c>
      <c r="H17" s="232">
        <f>IF(ISNUMBER(IF(D_I="SI",Datos!L17,Datos!L17+Datos!AF17)),IF(D_I="SI",Datos!L17,Datos!L17+Datos!AF17)," - ")</f>
        <v>346</v>
      </c>
      <c r="I17" s="1203" t="str">
        <f>IF(ISNUMBER(Datos!AS17/Datos!BM17),Datos!AS17/Datos!BM17," - ")</f>
        <v xml:space="preserve"> - </v>
      </c>
      <c r="J17" s="1204">
        <f>IF(ISNUMBER(Datos!BY17/Datos!CN17),Datos!BY17/Datos!CN17," - ")</f>
        <v>0</v>
      </c>
      <c r="K17" s="235">
        <f t="shared" si="3"/>
        <v>0.19310344827586207</v>
      </c>
      <c r="L17" s="1205">
        <f>IF(ISNUMBER(NºAsuntos!I17/NºAsuntos!G17),(NºAsuntos!I17/NºAsuntos!G17)*11," - ")</f>
        <v>29.968503937007874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17</v>
      </c>
      <c r="D18" s="230">
        <f>IF(ISNUMBER(IF(D_I="SI",Datos!I18,Datos!I18+Datos!AC18)),IF(D_I="SI",Datos!I18,Datos!I18+Datos!AC18)," - ")</f>
        <v>17</v>
      </c>
      <c r="E18" s="231">
        <f>IF(ISNUMBER(IF(D_I="SI",Datos!J18,Datos!J18+Datos!AD18)),IF(D_I="SI",Datos!J18,Datos!J18+Datos!AD18)," - ")</f>
        <v>6</v>
      </c>
      <c r="F18" s="231">
        <f>IF(ISNUMBER(IF(D_I="SI",Datos!K18,Datos!K18+Datos!AE18)),IF(D_I="SI",Datos!K18,Datos!K18+Datos!AE18)," - ")</f>
        <v>6</v>
      </c>
      <c r="G18" s="1193" t="str">
        <f>IF(Datos!E18&lt;&gt;"",Datos!E18,Datos!D18)</f>
        <v>37</v>
      </c>
      <c r="H18" s="232">
        <f>IF(ISNUMBER(IF(D_I="SI",Datos!L18,Datos!L18+Datos!AF18)),IF(D_I="SI",Datos!L18,Datos!L18+Datos!AF18)," - ")</f>
        <v>17</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31.166666666666668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307</v>
      </c>
      <c r="D20" s="1210">
        <f>SUBTOTAL(9,D16:D19)</f>
        <v>307</v>
      </c>
      <c r="E20" s="1211">
        <f>SUBTOTAL(9,E16:E19)</f>
        <v>189</v>
      </c>
      <c r="F20" s="1211">
        <f>SUBTOTAL(9,F16:F19)</f>
        <v>133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308</v>
      </c>
      <c r="D21" s="1232">
        <f>SUBTOTAL(9,D9:D20)</f>
        <v>308</v>
      </c>
      <c r="E21" s="1233">
        <f>SUBTOTAL(9,E9:E20)</f>
        <v>189</v>
      </c>
      <c r="F21" s="1233">
        <f>SUBTOTAL(9,F9:F20)</f>
        <v>133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VGd7VxTT0Z4JH3joLWuZbkUvJsTGBL+BivxvHySnjFP92VyTNLKLr3E1CXzKe6O3VyDJ8d7+o4Cio4OK8tbag==" saltValue="3/PXhKiTz1r/0hDuPluNo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XI9MJCafbSBWeSIVyqdSl/lCnFduuQI6+gJ9gOmrEW+cK7M96Nu3KlBTRY7+edJhoRcOtFHMe9m/U5+bfWubw==" saltValue="Az6Vso93KPDpl/kmWr1M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187</v>
      </c>
      <c r="J12" s="188">
        <v>68</v>
      </c>
      <c r="K12" s="188">
        <v>101</v>
      </c>
      <c r="L12" s="188">
        <v>154</v>
      </c>
      <c r="M12" s="188">
        <v>20</v>
      </c>
      <c r="N12" s="188">
        <v>41</v>
      </c>
      <c r="O12" s="186">
        <v>65</v>
      </c>
      <c r="P12" s="188">
        <v>17</v>
      </c>
      <c r="Q12" s="188">
        <v>18</v>
      </c>
      <c r="R12" s="188">
        <v>528</v>
      </c>
      <c r="S12" s="188">
        <v>125</v>
      </c>
      <c r="T12" s="188">
        <v>125</v>
      </c>
      <c r="U12" s="188">
        <v>101</v>
      </c>
      <c r="V12" s="188">
        <v>149</v>
      </c>
      <c r="W12" s="188">
        <v>28</v>
      </c>
      <c r="X12" s="194">
        <v>41</v>
      </c>
      <c r="Y12" s="196">
        <v>7</v>
      </c>
      <c r="Z12" s="186">
        <v>8</v>
      </c>
      <c r="AA12" s="186">
        <v>10</v>
      </c>
      <c r="AB12" s="186">
        <v>5</v>
      </c>
      <c r="AC12" s="188">
        <v>0</v>
      </c>
      <c r="AD12" s="188">
        <v>0</v>
      </c>
      <c r="AE12" s="188">
        <v>0</v>
      </c>
      <c r="AF12" s="194">
        <v>0</v>
      </c>
      <c r="AG12" s="207">
        <v>10</v>
      </c>
      <c r="AH12" s="188">
        <v>11</v>
      </c>
      <c r="AI12" s="188">
        <v>12</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135</v>
      </c>
      <c r="AZ12" s="129">
        <f t="shared" si="1"/>
        <v>136</v>
      </c>
      <c r="BA12" s="129">
        <f t="shared" si="1"/>
        <v>113</v>
      </c>
      <c r="BB12" s="129">
        <f t="shared" si="1"/>
        <v>158</v>
      </c>
      <c r="BC12" s="127">
        <f>IF(ISNUMBER(X12),X12," - ")</f>
        <v>41</v>
      </c>
      <c r="BD12" s="128">
        <f t="shared" si="2"/>
        <v>0.83088235294117652</v>
      </c>
      <c r="BE12" s="129">
        <f t="shared" si="3"/>
        <v>1.3982300884955752</v>
      </c>
      <c r="BF12" s="129">
        <f t="shared" si="4"/>
        <v>0.36283185840707965</v>
      </c>
      <c r="BG12" s="201">
        <f t="shared" si="5"/>
        <v>2.3982300884955752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188</v>
      </c>
      <c r="J14" s="189">
        <f t="shared" si="7"/>
        <v>68</v>
      </c>
      <c r="K14" s="189">
        <f t="shared" si="7"/>
        <v>101</v>
      </c>
      <c r="L14" s="189">
        <f t="shared" si="7"/>
        <v>155</v>
      </c>
      <c r="M14" s="189">
        <f t="shared" si="7"/>
        <v>20</v>
      </c>
      <c r="N14" s="189">
        <f t="shared" si="7"/>
        <v>41</v>
      </c>
      <c r="O14" s="189">
        <f t="shared" si="7"/>
        <v>65</v>
      </c>
      <c r="P14" s="189">
        <f t="shared" si="7"/>
        <v>17</v>
      </c>
      <c r="Q14" s="189">
        <f t="shared" si="7"/>
        <v>18</v>
      </c>
      <c r="R14" s="189">
        <f t="shared" si="7"/>
        <v>528</v>
      </c>
      <c r="S14" s="189">
        <f t="shared" si="7"/>
        <v>125</v>
      </c>
      <c r="T14" s="189">
        <f t="shared" si="7"/>
        <v>125</v>
      </c>
      <c r="U14" s="189">
        <f t="shared" si="7"/>
        <v>101</v>
      </c>
      <c r="V14" s="189">
        <f t="shared" si="7"/>
        <v>149</v>
      </c>
      <c r="W14" s="189">
        <f t="shared" si="7"/>
        <v>28</v>
      </c>
      <c r="X14" s="189">
        <f t="shared" si="7"/>
        <v>41</v>
      </c>
      <c r="Y14" s="189">
        <f t="shared" si="7"/>
        <v>7</v>
      </c>
      <c r="Z14" s="189">
        <f t="shared" si="7"/>
        <v>8</v>
      </c>
      <c r="AA14" s="189">
        <f t="shared" si="7"/>
        <v>10</v>
      </c>
      <c r="AB14" s="189">
        <f t="shared" si="7"/>
        <v>5</v>
      </c>
      <c r="AC14" s="189">
        <f t="shared" si="7"/>
        <v>0</v>
      </c>
      <c r="AD14" s="189">
        <f t="shared" si="7"/>
        <v>0</v>
      </c>
      <c r="AE14" s="189">
        <f t="shared" si="7"/>
        <v>0</v>
      </c>
      <c r="AF14" s="189">
        <f>SUBTOTAL(9,AF9:AF13)</f>
        <v>0</v>
      </c>
      <c r="AG14" s="189">
        <f t="shared" ref="AG14:AT14" si="8">SUBTOTAL(9,AG8:AG13)</f>
        <v>10</v>
      </c>
      <c r="AH14" s="189">
        <f t="shared" si="8"/>
        <v>11</v>
      </c>
      <c r="AI14" s="189">
        <f t="shared" si="8"/>
        <v>12</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135</v>
      </c>
      <c r="AZ14" s="189">
        <f>SUBTOTAL(9,AZ8:AZ13)</f>
        <v>136</v>
      </c>
      <c r="BA14" s="189">
        <f>SUBTOTAL(9,BA8:BA13)</f>
        <v>113</v>
      </c>
      <c r="BB14" s="189">
        <f>SUBTOTAL(9,BB8:BB13)</f>
        <v>158</v>
      </c>
      <c r="BC14" s="189">
        <f>SUBTOTAL(9,BC8:BC13)</f>
        <v>41</v>
      </c>
      <c r="BD14" s="210">
        <f>IF(ISNUMBER(BA14/AZ14),BA14/AZ14," - ")</f>
        <v>0.83088235294117652</v>
      </c>
      <c r="BE14" s="211">
        <f>IF(ISNUMBER(BB14/BA14),BB14/BA14, " - ")</f>
        <v>1.3982300884955752</v>
      </c>
      <c r="BF14" s="211">
        <f>IF(ISNUMBER(BC14/BA14),BC14/BA14, " - ")</f>
        <v>0.36283185840707965</v>
      </c>
      <c r="BG14" s="212">
        <f>IF(ISNUMBER((AY14+AZ14)/BA14),(AY14+AZ14)/BA14," - ")</f>
        <v>2.3982300884955752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290</v>
      </c>
      <c r="J17" s="188">
        <v>183</v>
      </c>
      <c r="K17" s="188">
        <v>127</v>
      </c>
      <c r="L17" s="188">
        <v>346</v>
      </c>
      <c r="M17" s="188">
        <v>23</v>
      </c>
      <c r="N17" s="188">
        <v>70</v>
      </c>
      <c r="O17" s="186">
        <v>2</v>
      </c>
      <c r="P17" s="188">
        <v>6</v>
      </c>
      <c r="Q17" s="188">
        <v>2</v>
      </c>
      <c r="R17" s="188">
        <v>29</v>
      </c>
      <c r="S17" s="188">
        <v>195</v>
      </c>
      <c r="T17" s="188">
        <v>113</v>
      </c>
      <c r="U17" s="188">
        <v>125</v>
      </c>
      <c r="V17" s="188">
        <v>243</v>
      </c>
      <c r="W17" s="188">
        <v>13</v>
      </c>
      <c r="X17" s="194">
        <v>69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195</v>
      </c>
      <c r="AZ17" s="129">
        <f t="shared" si="10"/>
        <v>113</v>
      </c>
      <c r="BA17" s="129">
        <f t="shared" si="10"/>
        <v>125</v>
      </c>
      <c r="BB17" s="129">
        <f t="shared" si="10"/>
        <v>243</v>
      </c>
      <c r="BC17" s="127">
        <f>IF(ISNUMBER(W17),W17," - ")</f>
        <v>13</v>
      </c>
      <c r="BD17" s="128">
        <f t="shared" ref="BD17:BD19" si="12">IF(ISNUMBER(BA17/AZ17),BA17/AZ17," - ")</f>
        <v>1.1061946902654867</v>
      </c>
      <c r="BE17" s="129">
        <f t="shared" ref="BE17:BE19" si="13">IF(ISNUMBER(BB17/BA17),BB17/BA17, " - ")</f>
        <v>1.944</v>
      </c>
      <c r="BF17" s="129">
        <f t="shared" ref="BF17:BF19" si="14">IF(ISNUMBER(BC17/BA17),BC17/BA17, " - ")</f>
        <v>0.104</v>
      </c>
      <c r="BG17" s="201">
        <f t="shared" si="11"/>
        <v>2.464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v>
      </c>
      <c r="J18" s="188">
        <v>6</v>
      </c>
      <c r="K18" s="188">
        <v>6</v>
      </c>
      <c r="L18" s="188">
        <v>17</v>
      </c>
      <c r="M18" s="188">
        <v>0</v>
      </c>
      <c r="N18" s="188">
        <v>8</v>
      </c>
      <c r="O18" s="188">
        <v>0</v>
      </c>
      <c r="P18" s="188">
        <v>0</v>
      </c>
      <c r="Q18" s="188">
        <v>0</v>
      </c>
      <c r="R18" s="188">
        <v>0</v>
      </c>
      <c r="S18" s="188">
        <v>10</v>
      </c>
      <c r="T18" s="188">
        <v>9</v>
      </c>
      <c r="U18" s="188">
        <v>10</v>
      </c>
      <c r="V18" s="188">
        <v>9</v>
      </c>
      <c r="W18" s="188">
        <v>1</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9</v>
      </c>
      <c r="BA18" s="131">
        <f t="shared" si="15"/>
        <v>10</v>
      </c>
      <c r="BB18" s="131">
        <f t="shared" si="15"/>
        <v>9</v>
      </c>
      <c r="BC18" s="127">
        <f>IF(ISNUMBER(W18),W18," - ")</f>
        <v>1</v>
      </c>
      <c r="BD18" s="128">
        <f>IF(ISNUMBER(BA18/AZ18),BA18/AZ18," - ")</f>
        <v>1.1111111111111112</v>
      </c>
      <c r="BE18" s="129">
        <f>IF(ISNUMBER(BB18/BA18),BB18/BA18, " - ")</f>
        <v>0.9</v>
      </c>
      <c r="BF18" s="129">
        <f>IF(ISNUMBER(BC18/BA18),BC18/BA18, " - ")</f>
        <v>0.1</v>
      </c>
      <c r="BG18" s="201">
        <f>IF(ISNUMBER((AY18+AZ18)/BA18),(AY18+AZ18)/BA18," - ")</f>
        <v>1.9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307</v>
      </c>
      <c r="J20" s="189">
        <f t="shared" si="16"/>
        <v>189</v>
      </c>
      <c r="K20" s="189">
        <f t="shared" si="16"/>
        <v>133</v>
      </c>
      <c r="L20" s="189">
        <f t="shared" si="16"/>
        <v>363</v>
      </c>
      <c r="M20" s="189">
        <f t="shared" si="16"/>
        <v>23</v>
      </c>
      <c r="N20" s="189">
        <f t="shared" si="16"/>
        <v>78</v>
      </c>
      <c r="O20" s="189">
        <f t="shared" si="16"/>
        <v>2</v>
      </c>
      <c r="P20" s="189">
        <f t="shared" si="16"/>
        <v>6</v>
      </c>
      <c r="Q20" s="189">
        <f t="shared" si="16"/>
        <v>2</v>
      </c>
      <c r="R20" s="189">
        <f t="shared" si="16"/>
        <v>29</v>
      </c>
      <c r="S20" s="189">
        <f t="shared" si="16"/>
        <v>205</v>
      </c>
      <c r="T20" s="189">
        <f t="shared" si="16"/>
        <v>122</v>
      </c>
      <c r="U20" s="189">
        <f t="shared" si="16"/>
        <v>135</v>
      </c>
      <c r="V20" s="189">
        <f t="shared" si="16"/>
        <v>252</v>
      </c>
      <c r="W20" s="189">
        <f t="shared" si="16"/>
        <v>14</v>
      </c>
      <c r="X20" s="189">
        <f t="shared" si="16"/>
        <v>72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205</v>
      </c>
      <c r="AZ20" s="189">
        <f>SUBTOTAL(9,AZ15:AZ19)</f>
        <v>122</v>
      </c>
      <c r="BA20" s="189">
        <f>SUBTOTAL(9,BA15:BA19)</f>
        <v>135</v>
      </c>
      <c r="BB20" s="189">
        <f>SUBTOTAL(9,BB15:BB19)</f>
        <v>252</v>
      </c>
      <c r="BC20" s="189">
        <f>SUBTOTAL(9,BC15:BC19)</f>
        <v>14</v>
      </c>
      <c r="BD20" s="210">
        <f>IF(ISNUMBER(BA20/AZ20),BA20/AZ20," - ")</f>
        <v>1.1065573770491803</v>
      </c>
      <c r="BE20" s="211">
        <f>IF(ISNUMBER(BB20/BA20),BB20/BA20, " - ")</f>
        <v>1.8666666666666667</v>
      </c>
      <c r="BF20" s="211">
        <f>IF(ISNUMBER(BC20/BA20),BC20/BA20, " - ")</f>
        <v>0.1037037037037037</v>
      </c>
      <c r="BG20" s="212">
        <f>IF(ISNUMBER((AY20+AZ20)/BA20),(AY20+AZ20)/BA20," - ")</f>
        <v>2.4222222222222221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495</v>
      </c>
      <c r="J21" s="136">
        <f t="shared" si="19"/>
        <v>257</v>
      </c>
      <c r="K21" s="136">
        <f t="shared" si="19"/>
        <v>234</v>
      </c>
      <c r="L21" s="136">
        <f t="shared" si="19"/>
        <v>518</v>
      </c>
      <c r="M21" s="136">
        <f t="shared" si="19"/>
        <v>43</v>
      </c>
      <c r="N21" s="136">
        <f t="shared" si="19"/>
        <v>119</v>
      </c>
      <c r="O21" s="136">
        <f t="shared" si="19"/>
        <v>67</v>
      </c>
      <c r="P21" s="136">
        <f t="shared" si="19"/>
        <v>23</v>
      </c>
      <c r="Q21" s="136">
        <f t="shared" si="19"/>
        <v>20</v>
      </c>
      <c r="R21" s="136">
        <f t="shared" si="19"/>
        <v>557</v>
      </c>
      <c r="S21" s="136">
        <f t="shared" si="19"/>
        <v>330</v>
      </c>
      <c r="T21" s="136">
        <f t="shared" si="19"/>
        <v>247</v>
      </c>
      <c r="U21" s="136">
        <f t="shared" si="19"/>
        <v>236</v>
      </c>
      <c r="V21" s="136">
        <f t="shared" si="19"/>
        <v>401</v>
      </c>
      <c r="W21" s="136">
        <f t="shared" si="19"/>
        <v>42</v>
      </c>
      <c r="X21" s="136">
        <f t="shared" si="19"/>
        <v>113</v>
      </c>
      <c r="Y21" s="136">
        <f t="shared" si="19"/>
        <v>7</v>
      </c>
      <c r="Z21" s="136">
        <f t="shared" si="19"/>
        <v>8</v>
      </c>
      <c r="AA21" s="136">
        <f t="shared" si="19"/>
        <v>10</v>
      </c>
      <c r="AB21" s="136">
        <f t="shared" si="19"/>
        <v>5</v>
      </c>
      <c r="AC21" s="136">
        <f t="shared" si="19"/>
        <v>0</v>
      </c>
      <c r="AD21" s="136">
        <f t="shared" si="19"/>
        <v>0</v>
      </c>
      <c r="AE21" s="136">
        <f t="shared" si="19"/>
        <v>0</v>
      </c>
      <c r="AF21" s="136">
        <f t="shared" si="19"/>
        <v>0</v>
      </c>
      <c r="AG21" s="136">
        <f t="shared" si="19"/>
        <v>10</v>
      </c>
      <c r="AH21" s="136">
        <f t="shared" si="19"/>
        <v>11</v>
      </c>
      <c r="AI21" s="136">
        <f t="shared" si="19"/>
        <v>12</v>
      </c>
      <c r="AJ21" s="136">
        <f t="shared" si="19"/>
        <v>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340</v>
      </c>
      <c r="AZ21" s="136">
        <f>SUBTOTAL(9,AZ9:AZ20)</f>
        <v>258</v>
      </c>
      <c r="BA21" s="136">
        <f>SUBTOTAL(9,BA9:BA20)</f>
        <v>248</v>
      </c>
      <c r="BB21" s="136">
        <f>SUBTOTAL(9,BB9:BB20)</f>
        <v>410</v>
      </c>
      <c r="BC21" s="137">
        <f>SUBTOTAL(9,BC9:BC20)</f>
        <v>55</v>
      </c>
      <c r="BD21" s="218">
        <f>IF(ISNUMBER(BA21/AZ21),BA21/AZ21," - ")</f>
        <v>0.96124031007751942</v>
      </c>
      <c r="BE21" s="215">
        <f>IF(ISNUMBER(BB21/BA21),BB21/BA21, " - ")</f>
        <v>1.653225806451613</v>
      </c>
      <c r="BF21" s="215">
        <f>IF(ISNUMBER(BC21/BA21),BC21/BA21, " - ")</f>
        <v>0.22177419354838709</v>
      </c>
      <c r="BG21" s="137">
        <f>IF(ISNUMBER((AY21+AZ21)/BA21),(AY21+AZ21)/BA21," - ")</f>
        <v>2.411290322580645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7UkwyVSHxiRl0HU7qnzLZxE+9LHtMu0uF5bSKzkM6un53e3c+vbBKJNjSIYn0NRtPXGbans9Jy05aMbAekpvQ==" saltValue="qMhx72CmQPjp/RynKp2G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tLbJU+1/2UBGnsYHgHGkBGUypFuwp/FiJk3T48d1G+1ra2rZAPHn78difGPrrqK19h12U1GJe7CbkpfoRs4mg==" saltValue="9ZO4/ZLX/sydJATeMIQk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PALENCIA  Resumenes por Partidos Judiciales  CARRION DE LOS CONDES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v>
      </c>
      <c r="O12" s="504"/>
      <c r="P12" s="504"/>
      <c r="Q12" s="502">
        <f>IF(ISNUMBER(Datos!P12),Datos!P12,0)</f>
        <v>17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528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20</v>
      </c>
      <c r="BD12" s="620">
        <f>IF(ISNUMBER(Datos!N12),Datos!N12," - ")</f>
        <v>41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1.4605263157894737</v>
      </c>
      <c r="BH12" s="670">
        <f>IF(ISNUMBER(((IF(J_V="SI",Datos!L12/Datos!K12,(Datos!L12+Datos!AB12)/(Datos!K12+Datos!AA12)))*11)/factor_trimestre),((IF(J_V="SI",Datos!L12/Datos!K12,(Datos!L12+Datos!AB12)/(Datos!K12+Datos!AA12)))*11)/factor_trimestre," - ")</f>
        <v>4.2972972972972974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-1.890359168241966E-3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8</v>
      </c>
      <c r="O14" s="1047">
        <f t="shared" si="1"/>
        <v>0</v>
      </c>
      <c r="P14" s="1047">
        <f t="shared" si="1"/>
        <v>0</v>
      </c>
      <c r="Q14" s="1046">
        <f t="shared" si="1"/>
        <v>17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18</v>
      </c>
      <c r="AD14" s="1046">
        <f t="shared" si="2"/>
        <v>0</v>
      </c>
      <c r="AE14" s="1046">
        <f t="shared" si="2"/>
        <v>0</v>
      </c>
      <c r="AF14" s="1046">
        <f t="shared" si="2"/>
        <v>1</v>
      </c>
      <c r="AG14" s="1046">
        <f t="shared" si="2"/>
        <v>0</v>
      </c>
      <c r="AH14" s="1046">
        <f t="shared" si="2"/>
        <v>5</v>
      </c>
      <c r="AI14" s="1046">
        <f t="shared" si="2"/>
        <v>0</v>
      </c>
      <c r="AJ14" s="1046">
        <f t="shared" si="2"/>
        <v>0</v>
      </c>
      <c r="AK14" s="1046">
        <f t="shared" si="2"/>
        <v>0</v>
      </c>
      <c r="AL14" s="1046">
        <f t="shared" si="2"/>
        <v>0</v>
      </c>
      <c r="AM14" s="1046">
        <f t="shared" si="2"/>
        <v>528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v>
      </c>
      <c r="BD14" s="1046">
        <f t="shared" si="2"/>
        <v>41</v>
      </c>
      <c r="BE14" s="1046">
        <f t="shared" si="2"/>
        <v>0</v>
      </c>
      <c r="BF14" s="1046">
        <f t="shared" si="2"/>
        <v>0</v>
      </c>
      <c r="BG14" s="1046">
        <f>IF(ISNUMBER(Datos!K14/Datos!J14),Datos!K14/Datos!J14," - ")</f>
        <v>1.4852941176470589</v>
      </c>
      <c r="BH14" s="1050">
        <f>IF(ISNUMBER(((Datos!L14/Datos!K14)*11)/factor_trimestre),((Datos!L14/Datos!K14)*11)/factor_trimestre," - ")</f>
        <v>4.6039603960396045</v>
      </c>
      <c r="BI14" s="1046">
        <f>IF(ISNUMBER('Resol  Asuntos'!D14/NºAsuntos!G14),'Resol  Asuntos'!D14/NºAsuntos!G14," - ")</f>
        <v>0.18018018018018017</v>
      </c>
      <c r="BJ14" s="1046" t="str">
        <f>IF(ISNUMBER(Datos!CI14/Datos!CJ14),Datos!CI14/Datos!CJ14," - ")</f>
        <v xml:space="preserve"> - </v>
      </c>
      <c r="BK14" s="1046">
        <f>SUBTOTAL(9,BK8:BK13)</f>
        <v>0</v>
      </c>
      <c r="BL14" s="1046">
        <f>IF(ISNUMBER((I14-AB14+L14)/(F14)),(I14-AB14+L14)/(F14)," - ")</f>
        <v>0</v>
      </c>
      <c r="BM14" s="1051">
        <f>SUBTOTAL(9,BM9:BM13)</f>
        <v>-1.890359168241966E-3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290</v>
      </c>
      <c r="G17" s="651">
        <f>IF(ISNUMBER(IF(D_I="SI",Datos!I17,Datos!I17+Datos!AC17)),IF(D_I="SI",Datos!I17,Datos!I17+Datos!AC17)," - ")</f>
        <v>290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127</v>
      </c>
      <c r="AC17" s="231">
        <f>IF(ISNUMBER(Datos!Q17),Datos!Q17," - ")</f>
        <v>2</v>
      </c>
      <c r="AD17" s="344"/>
      <c r="AE17" s="516"/>
      <c r="AF17" s="649">
        <f>IF(ISNUMBER(IF(D_I="SI",Datos!L17,Datos!L17+Datos!AF17)),IF(D_I="SI",Datos!L17,Datos!L17+Datos!AF17)," - ")</f>
        <v>346</v>
      </c>
      <c r="AG17" s="344"/>
      <c r="AH17" s="344"/>
      <c r="AI17" s="344"/>
      <c r="AJ17" s="504"/>
      <c r="AK17" s="344"/>
      <c r="AL17" s="500"/>
      <c r="AM17" s="345">
        <f>IF(ISNUMBER(Datos!R17),Datos!R17," - ")</f>
        <v>29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v>
      </c>
      <c r="BD17" s="234">
        <f>IF(ISNUMBER(Datos!N17),Datos!N17," - ")</f>
        <v>70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0.69398907103825136</v>
      </c>
      <c r="BH17" s="670">
        <f>IF(ISNUMBER(((IF(D_I="SI",Datos!L17/Datos!K17,(Datos!L17+Datos!AF17)/(Datos!K17+Datos!AE17)))*11)/factor_trimestre),((IF(D_I="SI",Datos!L17/Datos!K17,(Datos!L17+Datos!AF17)/(Datos!K17+Datos!AE17)))*11)/factor_trimestre," - ")</f>
        <v>8.1732283464566926</v>
      </c>
      <c r="BI17" s="248">
        <f>IF(ISNUMBER('Resol  Asuntos'!D17/NºAsuntos!G17),'Resol  Asuntos'!D17/NºAsuntos!G17," - ")</f>
        <v>0.18110236220472442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17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8.5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290</v>
      </c>
      <c r="G20" s="1045">
        <f>SUBTOTAL(9,G16:G19)</f>
        <v>307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133</v>
      </c>
      <c r="AC20" s="1046">
        <f t="shared" si="5"/>
        <v>2</v>
      </c>
      <c r="AD20" s="1046">
        <f t="shared" si="5"/>
        <v>0</v>
      </c>
      <c r="AE20" s="1046">
        <f t="shared" si="5"/>
        <v>0</v>
      </c>
      <c r="AF20" s="1046">
        <f t="shared" si="5"/>
        <v>363</v>
      </c>
      <c r="AG20" s="1046">
        <f t="shared" si="5"/>
        <v>0</v>
      </c>
      <c r="AH20" s="1046">
        <f t="shared" si="5"/>
        <v>0</v>
      </c>
      <c r="AI20" s="1046">
        <f t="shared" si="5"/>
        <v>0</v>
      </c>
      <c r="AJ20" s="1046">
        <f t="shared" si="5"/>
        <v>0</v>
      </c>
      <c r="AK20" s="1046">
        <f t="shared" si="5"/>
        <v>0</v>
      </c>
      <c r="AL20" s="1046">
        <f t="shared" si="5"/>
        <v>0</v>
      </c>
      <c r="AM20" s="1046">
        <f t="shared" si="5"/>
        <v>29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78</v>
      </c>
      <c r="BE20" s="1046">
        <f t="shared" si="5"/>
        <v>0</v>
      </c>
      <c r="BF20" s="1046">
        <f t="shared" si="5"/>
        <v>0</v>
      </c>
      <c r="BG20" s="1046">
        <f>IF(ISNUMBER(Datos!K20/Datos!J20),Datos!K20/Datos!J20," - ")</f>
        <v>0.70370370370370372</v>
      </c>
      <c r="BH20" s="1050">
        <f>IF(ISNUMBER(((Datos!L20/Datos!K20)*11)/factor_trimestre),((Datos!L20/Datos!K20)*11)/factor_trimestre," - ")</f>
        <v>8.1879699248120303</v>
      </c>
      <c r="BI20" s="1046">
        <f>SUBTOTAL(9,BI16:BI19)</f>
        <v>0.18110236220472442</v>
      </c>
      <c r="BJ20" s="1046">
        <f>SUBTOTAL(9,BJ16:BJ19)</f>
        <v>0</v>
      </c>
      <c r="BK20" s="1046">
        <f>SUBTOTAL(9,BK16:BK19)</f>
        <v>0</v>
      </c>
      <c r="BL20" s="1046">
        <f>IF(ISNUMBER((I20-AB20+L20)/(F20)),(I20-AB20+L20)/(F20)," - ")</f>
        <v>-0.45862068965517239</v>
      </c>
      <c r="BM20" s="1052">
        <f>IF(ISNUMBER((Datos!P20-Datos!Q20)/(Datos!R20-Datos!P20+Datos!Q20)),(Datos!P20-Datos!Q20)/(Datos!R20-Datos!P20+Datos!Q20)," - ")</f>
        <v>0.16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291</v>
      </c>
      <c r="G21" s="967">
        <f t="shared" si="7"/>
        <v>308</v>
      </c>
      <c r="H21" s="969">
        <f t="shared" si="7"/>
        <v>0</v>
      </c>
      <c r="I21" s="967">
        <f t="shared" si="7"/>
        <v>0</v>
      </c>
      <c r="J21" s="969">
        <f t="shared" si="7"/>
        <v>0</v>
      </c>
      <c r="K21" s="969">
        <f t="shared" si="7"/>
        <v>0</v>
      </c>
      <c r="L21" s="1028">
        <f t="shared" si="7"/>
        <v>0</v>
      </c>
      <c r="M21" s="1028">
        <f t="shared" si="7"/>
        <v>0</v>
      </c>
      <c r="N21" s="1028">
        <f t="shared" si="7"/>
        <v>8</v>
      </c>
      <c r="O21" s="1028">
        <f t="shared" si="7"/>
        <v>0</v>
      </c>
      <c r="P21" s="1028">
        <f t="shared" si="7"/>
        <v>0</v>
      </c>
      <c r="Q21" s="969">
        <f t="shared" si="7"/>
        <v>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133</v>
      </c>
      <c r="AC21" s="968">
        <f t="shared" si="8"/>
        <v>20</v>
      </c>
      <c r="AD21" s="968">
        <f t="shared" si="8"/>
        <v>0</v>
      </c>
      <c r="AE21" s="968">
        <f t="shared" si="8"/>
        <v>0</v>
      </c>
      <c r="AF21" s="975">
        <f t="shared" si="8"/>
        <v>364</v>
      </c>
      <c r="AG21" s="975">
        <f t="shared" si="8"/>
        <v>0</v>
      </c>
      <c r="AH21" s="975">
        <f t="shared" si="8"/>
        <v>5</v>
      </c>
      <c r="AI21" s="975">
        <f t="shared" si="8"/>
        <v>0</v>
      </c>
      <c r="AJ21" s="968">
        <f t="shared" si="8"/>
        <v>0</v>
      </c>
      <c r="AK21" s="975">
        <f t="shared" si="8"/>
        <v>0</v>
      </c>
      <c r="AL21" s="975">
        <f t="shared" si="8"/>
        <v>0</v>
      </c>
      <c r="AM21" s="975">
        <f t="shared" si="8"/>
        <v>557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v>
      </c>
      <c r="BD21" s="967">
        <f t="shared" si="8"/>
        <v>119</v>
      </c>
      <c r="BE21" s="967">
        <f t="shared" si="8"/>
        <v>0</v>
      </c>
      <c r="BF21" s="977">
        <f t="shared" si="8"/>
        <v>0</v>
      </c>
      <c r="BG21" s="1062">
        <f>IF(ISNUMBER(Datos!K21/Datos!J21),Datos!K21/Datos!J21," - ")</f>
        <v>0.91050583657587547</v>
      </c>
      <c r="BH21" s="1062">
        <f>IF(ISNUMBER(((Datos!L21/Datos!K21)*11)/factor_trimestre),((Datos!L21/Datos!K21)*11)/factor_trimestre," - ")</f>
        <v>6.6410256410256423</v>
      </c>
      <c r="BI21" s="960">
        <f>IF(ISNUMBER(Datos!J21/Datos!I21),Datos!J21/Datos!I21," - ")</f>
        <v>0.5191919191919192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-0.45704467353951889</v>
      </c>
      <c r="BM21" s="1036">
        <f>IF(ISNUMBER((Datos!P21-Datos!Q21+R21)/(Datos!R21-Datos!P21+Datos!Q21-R21)),(Datos!P21-Datos!Q21+R21)/(Datos!R21-Datos!P21+Datos!Q21-R21)," - ")</f>
        <v>5.415162454873646E-3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166.85422779580185</v>
      </c>
      <c r="G23" s="601">
        <f>IF(ISNUMBER(STDEV(G8:G20)),STDEV(G8:G20),"-")</f>
        <v>160.27226834359087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70.183331354389267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11.183320914051722</v>
      </c>
      <c r="BD23" s="600"/>
      <c r="BE23" s="600">
        <f>IF(ISNUMBER(STDEV(BE8:BE20)),STDEV(BE8:BE20),"-")</f>
        <v>0</v>
      </c>
      <c r="BF23" s="605">
        <f>IF(ISNUMBER(STDEV(BF8:BF20)),STDEV(BF8:BF20),"-")</f>
        <v>0</v>
      </c>
      <c r="BG23" s="915">
        <f>IF(ISNUMBER(STDEV(BG8:BG20)),STDEV(BG8:BG20),"-")</f>
        <v>0.38904652265564066</v>
      </c>
      <c r="BH23" s="919">
        <f>IF(ISNUMBER(STDEV(BH8:BH20)),STDEV(BH8:BH20),"-")</f>
        <v>2.1081414759345845</v>
      </c>
      <c r="BI23" s="254">
        <f>IF(ISNUMBER(STDEV(BI8:BI20)),STDEV(BI8:BI20),"-")</f>
        <v>9.0398529376587669E-2</v>
      </c>
      <c r="BJ23" s="235" t="str">
        <f>IF(ISNUMBER(BL23/BM23),BL23/BM23," - ")</f>
        <v xml:space="preserve"> - </v>
      </c>
      <c r="BK23" s="627"/>
      <c r="BL23" s="608">
        <f>IF(ISNUMBER(STDEV(BL8:BL20)),STDEV(BL8:BL20),"-")</f>
        <v>0.3242937996476235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W3mEWF+TuhLHk3F1ADx5qItYqZCRy2REzglQdRrTnE85Hmp4KXRPeUl4Q9TrYkhzr5LVQkDnSFvcveMWt83aA==" saltValue="IiqsP9TPLyUwcFXbtnDq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PALENCIA  Resumenes por Partidos Judiciales  CARRION DE LOS CONDES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v>
      </c>
      <c r="AA12" s="506" t="str">
        <f>IF(ISNUMBER(IF(J_V="SI",Datos!L12,Datos!L12+Datos!AB12)-IF(Monitorios="SI",Datos!CD12,0)),
                          IF(J_V="SI",Datos!L12,Datos!L12+Datos!AB12)-IF(Monitorios="SI",Datos!CD12,0),
                          " - ")</f>
        <v xml:space="preserve"> - </v>
      </c>
      <c r="AB12" s="504"/>
      <c r="AC12" s="504"/>
      <c r="AD12" s="517"/>
      <c r="AE12" s="517">
        <f>IF(ISNUMBER(Datos!R12),Datos!R12," - ")</f>
        <v>528</v>
      </c>
      <c r="AF12" s="620" t="str">
        <f>IF(ISNUMBER(Datos!BV12),Datos!BV12," - ")</f>
        <v xml:space="preserve"> - </v>
      </c>
      <c r="AG12" s="507" t="str">
        <f>IF(ISNUMBER(Datos!DV12),Datos!DV12," - ")</f>
        <v xml:space="preserve"> - </v>
      </c>
      <c r="AH12" s="508"/>
      <c r="AI12" s="509"/>
      <c r="AJ12" s="507">
        <f>IF(ISNUMBER(Datos!M12),Datos!M12," - ")</f>
        <v>20</v>
      </c>
      <c r="AK12" s="620">
        <f>IF(ISNUMBER(Datos!N12),Datos!N12," - ")</f>
        <v>41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4.2972972972972974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-1.890359168241966E-3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17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18</v>
      </c>
      <c r="AA14" s="1047">
        <f t="shared" si="3"/>
        <v>1</v>
      </c>
      <c r="AB14" s="1047">
        <f t="shared" si="3"/>
        <v>0</v>
      </c>
      <c r="AC14" s="1047">
        <f t="shared" si="3"/>
        <v>0</v>
      </c>
      <c r="AD14" s="1047">
        <f t="shared" si="3"/>
        <v>0</v>
      </c>
      <c r="AE14" s="1047">
        <f t="shared" si="3"/>
        <v>528</v>
      </c>
      <c r="AF14" s="1055">
        <f t="shared" si="3"/>
        <v>0</v>
      </c>
      <c r="AG14" s="1055">
        <f t="shared" si="3"/>
        <v>0</v>
      </c>
      <c r="AH14" s="1055">
        <f t="shared" si="3"/>
        <v>0</v>
      </c>
      <c r="AI14" s="1055">
        <f t="shared" si="3"/>
        <v>0</v>
      </c>
      <c r="AJ14" s="1055">
        <f t="shared" si="3"/>
        <v>20</v>
      </c>
      <c r="AK14" s="1055">
        <f t="shared" si="3"/>
        <v>41</v>
      </c>
      <c r="AL14" s="1055">
        <f t="shared" si="3"/>
        <v>0</v>
      </c>
      <c r="AM14" s="1055">
        <f t="shared" si="3"/>
        <v>0</v>
      </c>
      <c r="AN14" s="1055">
        <f t="shared" si="3"/>
        <v>0</v>
      </c>
      <c r="AO14" s="1051">
        <f>IF(ISNUMBER(((NºAsuntos!I14/NºAsuntos!G14)*11)/factor_trimestre),((NºAsuntos!I14/NºAsuntos!G14)*11)/factor_trimestre," - ")</f>
        <v>4.3243243243243246</v>
      </c>
      <c r="AP14" s="1057" t="str">
        <f>IF(ISNUMBER(Datos!CI14/Datos!CJ14),Datos!CI14/Datos!CJ14," - ")</f>
        <v xml:space="preserve"> - </v>
      </c>
      <c r="AQ14" s="1075">
        <f t="shared" ref="AQ14:AV14" si="4">SUBTOTAL(9,AQ9:AQ13)</f>
        <v>0</v>
      </c>
      <c r="AR14" s="1075">
        <f t="shared" si="4"/>
        <v>-1.890359168241966E-3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290</v>
      </c>
      <c r="G17" s="507">
        <f>IF(ISNUMBER(IF(D_I="SI",Datos!I17,Datos!I17+Datos!AC17)),IF(D_I="SI",Datos!I17,Datos!I17+Datos!AC17)," - ")</f>
        <v>290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127</v>
      </c>
      <c r="Z17" s="704">
        <f>IF(ISNUMBER(Datos!Q17),Datos!Q17," - ")</f>
        <v>2</v>
      </c>
      <c r="AA17" s="506">
        <f>IF(ISNUMBER(IF(D_I="SI",Datos!L17,Datos!L17+Datos!AF17)),IF(D_I="SI",Datos!L17,Datos!L17+Datos!AF17)," - ")</f>
        <v>346</v>
      </c>
      <c r="AB17" s="504"/>
      <c r="AC17" s="504"/>
      <c r="AD17" s="517"/>
      <c r="AE17" s="517">
        <f>IF(ISNUMBER(Datos!R17),Datos!R17," - ")</f>
        <v>29</v>
      </c>
      <c r="AF17" s="620" t="str">
        <f>IF(ISNUMBER(Datos!BV17),Datos!BV17," - ")</f>
        <v xml:space="preserve"> - </v>
      </c>
      <c r="AG17" s="507"/>
      <c r="AH17" s="508"/>
      <c r="AI17" s="509"/>
      <c r="AJ17" s="507">
        <f>IF(ISNUMBER(Datos!M17),Datos!M17," - ")</f>
        <v>23</v>
      </c>
      <c r="AK17" s="620">
        <f>IF(ISNUMBER(Datos!N17),Datos!N17," - ")</f>
        <v>70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8.1732283464566926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17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290</v>
      </c>
      <c r="G20" s="1045">
        <f>SUBTOTAL(9,G16:G19)</f>
        <v>307</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133</v>
      </c>
      <c r="Z20" s="1079">
        <f t="shared" si="6"/>
        <v>2</v>
      </c>
      <c r="AA20" s="1079">
        <f t="shared" si="6"/>
        <v>363</v>
      </c>
      <c r="AB20" s="1079">
        <f t="shared" si="6"/>
        <v>0</v>
      </c>
      <c r="AC20" s="1079">
        <f t="shared" si="6"/>
        <v>0</v>
      </c>
      <c r="AD20" s="1079">
        <f t="shared" si="6"/>
        <v>0</v>
      </c>
      <c r="AE20" s="1079">
        <f t="shared" si="6"/>
        <v>29</v>
      </c>
      <c r="AF20" s="1079">
        <f t="shared" si="6"/>
        <v>0</v>
      </c>
      <c r="AG20" s="1079">
        <f t="shared" si="6"/>
        <v>0</v>
      </c>
      <c r="AH20" s="1079">
        <f t="shared" si="6"/>
        <v>0</v>
      </c>
      <c r="AI20" s="1079">
        <f t="shared" si="6"/>
        <v>0</v>
      </c>
      <c r="AJ20" s="1079">
        <f t="shared" si="6"/>
        <v>23</v>
      </c>
      <c r="AK20" s="1079">
        <f t="shared" si="6"/>
        <v>78</v>
      </c>
      <c r="AL20" s="1079">
        <f t="shared" si="6"/>
        <v>0</v>
      </c>
      <c r="AM20" s="1079">
        <f t="shared" si="6"/>
        <v>0</v>
      </c>
      <c r="AN20" s="1079">
        <f t="shared" si="6"/>
        <v>0</v>
      </c>
      <c r="AO20" s="1081">
        <f>IF(ISNUMBER(((NºAsuntos!I20/NºAsuntos!G20)*11)/factor_trimestre),((NºAsuntos!I20/NºAsuntos!G20)*11)/factor_trimestre," - ")</f>
        <v>8.1879699248120303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291</v>
      </c>
      <c r="G21" s="967">
        <f t="shared" si="8"/>
        <v>308</v>
      </c>
      <c r="H21" s="968">
        <f t="shared" si="8"/>
        <v>0</v>
      </c>
      <c r="I21" s="967">
        <f t="shared" si="8"/>
        <v>0</v>
      </c>
      <c r="J21" s="969">
        <f t="shared" si="8"/>
        <v>0</v>
      </c>
      <c r="K21" s="967">
        <f t="shared" si="8"/>
        <v>0</v>
      </c>
      <c r="L21" s="970">
        <f t="shared" si="8"/>
        <v>0</v>
      </c>
      <c r="M21" s="967">
        <f t="shared" si="8"/>
        <v>0</v>
      </c>
      <c r="N21" s="968">
        <f t="shared" si="8"/>
        <v>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133</v>
      </c>
      <c r="Z21" s="974">
        <f t="shared" si="9"/>
        <v>20</v>
      </c>
      <c r="AA21" s="975">
        <f t="shared" si="9"/>
        <v>364</v>
      </c>
      <c r="AB21" s="975">
        <f t="shared" si="9"/>
        <v>0</v>
      </c>
      <c r="AC21" s="975">
        <f t="shared" si="9"/>
        <v>0</v>
      </c>
      <c r="AD21" s="976">
        <f t="shared" si="9"/>
        <v>0</v>
      </c>
      <c r="AE21" s="976">
        <f t="shared" si="9"/>
        <v>557</v>
      </c>
      <c r="AF21" s="977">
        <f t="shared" si="9"/>
        <v>0</v>
      </c>
      <c r="AG21" s="978">
        <f t="shared" si="9"/>
        <v>0</v>
      </c>
      <c r="AH21" s="979">
        <f t="shared" si="9"/>
        <v>0</v>
      </c>
      <c r="AI21" s="977">
        <f t="shared" si="9"/>
        <v>0</v>
      </c>
      <c r="AJ21" s="967">
        <f t="shared" si="9"/>
        <v>43</v>
      </c>
      <c r="AK21" s="967">
        <f t="shared" si="9"/>
        <v>119</v>
      </c>
      <c r="AL21" s="967">
        <f t="shared" si="9"/>
        <v>0</v>
      </c>
      <c r="AM21" s="980">
        <f t="shared" si="9"/>
        <v>0</v>
      </c>
      <c r="AN21" s="970">
        <f>IF(ISNUMBER(Datos!K21/Datos!J21),Datos!K21/Datos!J21," - ")</f>
        <v>0.91050583657587547</v>
      </c>
      <c r="AO21" s="970">
        <f>IF(ISNUMBER(FIND("06",Criterios!A8,1)),(IF(ISNUMBER(((Datos!R21/Datos!Q21)*11)/factor_trimestre),((Datos!R21/Datos!Q21)*11)/factor_trimestre," - ")),(IF(ISNUMBER(((Datos!L21/Datos!K21)*11)/factor_trimestre),((Datos!L21/Datos!K21)*11)/factor_trimestre," - ")))</f>
        <v>6.6410256410256423</v>
      </c>
      <c r="AP21" s="981" t="str">
        <f>IF(ISNUMBER(Datos!CI21/Datos!CJ21),Datos!CI21/Datos!CJ21," - ")</f>
        <v xml:space="preserve"> - </v>
      </c>
      <c r="AQ21" s="981">
        <f>IF(OR(ISNUMBER(FIND("01",Criterios!A8,1)),ISNUMBER(FIND("02",Criterios!A8,1)),ISNUMBER(FIND("03",Criterios!A8,1)),ISNUMBER(FIND("04",Criterios!A8,1))),(J21-Y21+K21)/(F21-K21),(I21-Y21+K21)/(F21-K21))</f>
        <v>-0.45704467353951889</v>
      </c>
      <c r="AR21" s="981">
        <f>IF(ISNUMBER((Datos!P21-Datos!Q21+O21)/(Datos!R21-Datos!P21+Datos!Q21-O21)),(Datos!P21-Datos!Q21+O21)/(Datos!R21-Datos!P21+Datos!Q21-O21)," - ")</f>
        <v>5.415162454873646E-3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166.85422779580185</v>
      </c>
      <c r="G23" s="601">
        <f>IF(ISNUMBER(STDEV(G8:G20)),STDEV(G8:G20),"-")</f>
        <v>160.27226834359087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11.183320914051722</v>
      </c>
      <c r="AK23" s="257"/>
      <c r="AL23" s="257">
        <f>IF(ISNUMBER(STDEV(AL8:AL20)),STDEV(AL8:AL20),"-")</f>
        <v>0</v>
      </c>
      <c r="AM23" s="259">
        <f>IF(ISNUMBER(STDEV(AM8:AM20)),STDEV(AM8:AM20),"-")</f>
        <v>0</v>
      </c>
      <c r="AN23" s="587">
        <f>IF(ISNUMBER(STDEV(AN8:AN20)),STDEV(AN8:AN20),"-")</f>
        <v>0</v>
      </c>
      <c r="AO23" s="588">
        <f>IF(ISNUMBER(STDEV(AO8:AO20)),STDEV(AO8:AO20),"-")</f>
        <v>2.1818118858132873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YxbmPzrLAv+MEwx9PKUhRTzjwGtcuf/bHiHMRehQz3bGQBSyTnPgv6VJ25lG8egRhvsWPg3GWtJBO/UGZb7DQ==" saltValue="5L026Igv5dvarMJcSlwN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tWzwnRdRK9KCcKYWCH0prq85mwCnmEeAftdCyGbtk7CV/AxaD8XQS7kCxlEv5l6JIGD7umZtLqSDLLbk0/UCw==" saltValue="Ab8ZsTu6tc9qrweOfSRB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NakVvxTVWuTYpDk8bbCUd05L6miUSqNlgw2sx8HUeUpTgn0lDPXpSyQYBAJx9z9EPF5LiPj4P8F6zfqQtMXJw==" saltValue="qUJyx1xgbpcZ6chv4raQ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PALENCIA  Resumenes por Partidos Judiciales  CARRION DE LOS CONDES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0.18018018018018017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0.12740662724081936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ZzaPUvfmGN7v/MoBKTNQM8yVZ2NYldV4fa+h8sd7t89+Sp4pMJB8kIS7+NRzFtn+nvlsZOP9d+9/+eFgsPxag==" saltValue="L2THgvaBn9EIASrBmTIP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ckwlSp6/z2w6NAQeCyL+1bYLKddoJSUjydy5LW5r4QxyTbWwMSASZsq9DlvoDhDh7PP42hxDALY/gyN9eE4WQ==" saltValue="/lHGpm3MOAPomTIP14WV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PALENCIA</v>
      </c>
      <c r="D3" s="400"/>
      <c r="E3" s="400"/>
      <c r="F3" s="400"/>
    </row>
    <row r="4" spans="1:14" ht="13.5" thickBot="1">
      <c r="A4" s="400"/>
      <c r="B4" s="403" t="str">
        <f>Criterios!A11 &amp;"  "&amp;Criterios!B11</f>
        <v>Resumenes por Partidos Judiciales  CARRION DE LOS CONDES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194</v>
      </c>
      <c r="D12" s="416">
        <f>IF(ISNUMBER(C12/Datos!BH12),C12/Datos!BH12," - ")</f>
        <v>194</v>
      </c>
      <c r="E12" s="415">
        <f>IF(ISNUMBER(IF(J_V="SI",Datos!J12,Datos!J12+Datos!Z12)),IF(J_V="SI",Datos!J12,Datos!J12+Datos!Z12)," - ")</f>
        <v>76</v>
      </c>
      <c r="F12" s="416">
        <f>IF(ISNUMBER(E12/B12),E12/B12," - ")</f>
        <v>76</v>
      </c>
      <c r="G12" s="415">
        <f>IF(ISNUMBER(IF(J_V="SI",Datos!K12,Datos!K12+Datos!AA12)),IF(J_V="SI",Datos!K12,Datos!K12+Datos!AA12)," - ")</f>
        <v>111</v>
      </c>
      <c r="H12" s="416">
        <f>IF(ISNUMBER(G12/B12),G12/B12," - ")</f>
        <v>111</v>
      </c>
      <c r="I12" s="415">
        <f>IF(ISNUMBER(IF(J_V="SI",Datos!L12,Datos!L12+Datos!AB12)),IF(J_V="SI",Datos!L12,Datos!L12+Datos!AB12)," - ")</f>
        <v>159</v>
      </c>
      <c r="J12" s="416">
        <f>IF(ISNUMBER(I12/B12),I12/B12," - ")</f>
        <v>159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195</v>
      </c>
      <c r="D14" s="997" t="str">
        <f>IF(ISNUMBER(C14/Datos!BI14),C14/Datos!BI14," - ")</f>
        <v xml:space="preserve"> - </v>
      </c>
      <c r="E14" s="996">
        <f>SUBTOTAL(9,E8:E13)</f>
        <v>76</v>
      </c>
      <c r="F14" s="997">
        <f>IF(ISNUMBER(E14/B14),E14/B14," - ")</f>
        <v>76</v>
      </c>
      <c r="G14" s="996">
        <f>SUBTOTAL(9,G8:G13)</f>
        <v>111</v>
      </c>
      <c r="H14" s="997">
        <f>IF(ISNUMBER(G14/B14),G14/B14," - ")</f>
        <v>111</v>
      </c>
      <c r="I14" s="996">
        <f>SUBTOTAL(9,I8:I13)</f>
        <v>160</v>
      </c>
      <c r="J14" s="997">
        <f>IF(ISNUMBER(I14/B14),I14/B14," - ")</f>
        <v>160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290</v>
      </c>
      <c r="D17" s="416">
        <f>IF(ISNUMBER(C17/Datos!BH17),C17/Datos!BH17," - ")</f>
        <v>290</v>
      </c>
      <c r="E17" s="415">
        <f>IF(ISNUMBER(IF(D_I="SI",Datos!J17,Datos!J17+Datos!AD17)),IF(D_I="SI",Datos!J17,Datos!J17+Datos!AD17)," - ")</f>
        <v>183</v>
      </c>
      <c r="F17" s="416">
        <f>IF(ISNUMBER(E17/B17),E17/B17," - ")</f>
        <v>183</v>
      </c>
      <c r="G17" s="415">
        <f>IF(ISNUMBER(IF(D_I="SI",Datos!K17,Datos!K17+Datos!AE17)),IF(D_I="SI",Datos!K17,Datos!K17+Datos!AE17)," - ")</f>
        <v>127</v>
      </c>
      <c r="H17" s="416">
        <f>IF(ISNUMBER(G17/B17),G17/B17," - ")</f>
        <v>127</v>
      </c>
      <c r="I17" s="415">
        <f>IF(ISNUMBER(IF(D_I="SI",Datos!L17,Datos!L17+Datos!AF17)),IF(D_I="SI",Datos!L17,Datos!L17+Datos!AF17)," - ")</f>
        <v>346</v>
      </c>
      <c r="J17" s="416">
        <f>IF(ISNUMBER(I17/B17),I17/B17," - ")</f>
        <v>346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17</v>
      </c>
      <c r="D18" s="416">
        <f>IF(ISNUMBER(C18/Datos!BH18),C18/Datos!BH18," - ")</f>
        <v>17</v>
      </c>
      <c r="E18" s="415">
        <f>IF(ISNUMBER(IF(D_I="SI",Datos!J18,Datos!J18+Datos!AD18)),IF(D_I="SI",Datos!J18,Datos!J18+Datos!AD18)," - ")</f>
        <v>6</v>
      </c>
      <c r="F18" s="416">
        <f>IF(ISNUMBER(E18/B18),E18/B18," - ")</f>
        <v>6</v>
      </c>
      <c r="G18" s="415">
        <f>IF(ISNUMBER(IF(D_I="SI",Datos!K18,Datos!K18+Datos!AE18)),IF(D_I="SI",Datos!K18,Datos!K18+Datos!AE18)," - ")</f>
        <v>6</v>
      </c>
      <c r="H18" s="416">
        <f>IF(ISNUMBER(G18/B18),G18/B18," - ")</f>
        <v>6</v>
      </c>
      <c r="I18" s="415">
        <f>IF(ISNUMBER(IF(D_I="SI",Datos!L18,Datos!L18+Datos!AF18)),IF(D_I="SI",Datos!L18,Datos!L18+Datos!AF18)," - ")</f>
        <v>17</v>
      </c>
      <c r="J18" s="416">
        <f>IF(ISNUMBER(I18/B18),I18/B18," - ")</f>
        <v>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307</v>
      </c>
      <c r="D20" s="997" t="str">
        <f>IF(ISNUMBER(C20/Datos!BI20),C20/Datos!BI20," - ")</f>
        <v xml:space="preserve"> - </v>
      </c>
      <c r="E20" s="996">
        <f>SUBTOTAL(9,E15:E19)</f>
        <v>189</v>
      </c>
      <c r="F20" s="997">
        <f>IF(ISNUMBER(E20/B20),E20/B20," - ")</f>
        <v>189</v>
      </c>
      <c r="G20" s="996">
        <f>SUBTOTAL(9,G15:G19)</f>
        <v>133</v>
      </c>
      <c r="H20" s="997">
        <f>IF(ISNUMBER(G20/B20),G20/B20," - ")</f>
        <v>133</v>
      </c>
      <c r="I20" s="996">
        <f>SUBTOTAL(9,I15:I19)</f>
        <v>363</v>
      </c>
      <c r="J20" s="997">
        <f>IF(ISNUMBER(I20/B20),I20/B20," - ")</f>
        <v>363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502</v>
      </c>
      <c r="D21" s="942" t="str">
        <f>IF(ISNUMBER(C21/Datos!BI21),C21/Datos!BI21," - ")</f>
        <v xml:space="preserve"> - </v>
      </c>
      <c r="E21" s="941">
        <f>SUBTOTAL(9,E9:E20)</f>
        <v>265</v>
      </c>
      <c r="F21" s="942">
        <f>IF(ISNUMBER(E21/B21),E21/B21," - ")</f>
        <v>265</v>
      </c>
      <c r="G21" s="941">
        <f>SUBTOTAL(9,G9:G20)</f>
        <v>244</v>
      </c>
      <c r="H21" s="942">
        <f>IF(ISNUMBER(G21/B21),G21/B21," - ")</f>
        <v>244</v>
      </c>
      <c r="I21" s="941">
        <f>SUBTOTAL(9,I9:I20)</f>
        <v>523</v>
      </c>
      <c r="J21" s="942">
        <f>IF(ISNUMBER(I21/B21),I21/B21," - ")</f>
        <v>523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O5RXK4SdxfpjFZ0IJL413+/TlYP67ZR++yfSKF9xOI15jqRU6T2MuHqJQorL+mv2iQ7DVQJb/ltnMyXiUMIg==" saltValue="21FPQDNKcDCRZVP3lETt1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PALENCIA  Resumenes por Partidos Judiciales  CARRION DE LOS CONDES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528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20</v>
      </c>
      <c r="AM12" s="811">
        <f>IF(ISNUMBER(Datos!N12+DatosP!N17),Datos!N12+DatosP!N17," - ")</f>
        <v>41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4.2972972972972974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-1.890359168241966E-3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17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18</v>
      </c>
      <c r="AE14" s="1086">
        <f t="shared" si="1"/>
        <v>0</v>
      </c>
      <c r="AF14" s="1086">
        <f t="shared" si="1"/>
        <v>1</v>
      </c>
      <c r="AG14" s="1086">
        <f t="shared" si="1"/>
        <v>0</v>
      </c>
      <c r="AH14" s="1086">
        <f t="shared" si="1"/>
        <v>528</v>
      </c>
      <c r="AI14" s="1086">
        <f t="shared" si="1"/>
        <v>0</v>
      </c>
      <c r="AJ14" s="1086">
        <f t="shared" si="1"/>
        <v>0</v>
      </c>
      <c r="AK14" s="1086">
        <f t="shared" si="1"/>
        <v>0</v>
      </c>
      <c r="AL14" s="1086">
        <f t="shared" si="1"/>
        <v>20</v>
      </c>
      <c r="AM14" s="1086">
        <f t="shared" si="1"/>
        <v>41</v>
      </c>
      <c r="AN14" s="1086">
        <f t="shared" si="1"/>
        <v>0</v>
      </c>
      <c r="AO14" s="1086">
        <f t="shared" si="1"/>
        <v>0</v>
      </c>
      <c r="AP14" s="1091">
        <f>IF(ISNUMBER(((Datos!L14/Datos!K14)*11)/factor_trimestre),((Datos!L14/Datos!K14)*11)/factor_trimestre," - ")</f>
        <v>4.6039603960396045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-1.890359168241966E-3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8.1879699248120303</v>
      </c>
      <c r="AQ20" s="1091">
        <f>IF(ISNUMBER(((Datos!M20/Datos!L20)*11)/factor_trimestre),((Datos!M20/Datos!L20)*11)/factor_trimestre," - ")</f>
        <v>0.19008264462809921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0.16</v>
      </c>
      <c r="AW20" s="1093">
        <f>IF(ISNUMBER((Datos!Q20-Datos!R20)/(Datos!S20-Datos!Q20+Datos!R20)),(Datos!Q20-Datos!R20)/(Datos!S20-Datos!Q20+Datos!R20)," - ")</f>
        <v>-0.11637931034482758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17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18</v>
      </c>
      <c r="AE21" s="1104">
        <f t="shared" si="5"/>
        <v>0</v>
      </c>
      <c r="AF21" s="1105">
        <f t="shared" si="5"/>
        <v>1</v>
      </c>
      <c r="AG21" s="1105">
        <f t="shared" si="5"/>
        <v>0</v>
      </c>
      <c r="AH21" s="1105">
        <f t="shared" si="5"/>
        <v>528</v>
      </c>
      <c r="AI21" s="1105">
        <f t="shared" si="5"/>
        <v>0</v>
      </c>
      <c r="AJ21" s="1106">
        <f t="shared" si="5"/>
        <v>0</v>
      </c>
      <c r="AK21" s="1106">
        <f t="shared" si="5"/>
        <v>0</v>
      </c>
      <c r="AL21" s="1098">
        <f t="shared" si="5"/>
        <v>20</v>
      </c>
      <c r="AM21" s="1098">
        <f t="shared" si="5"/>
        <v>41</v>
      </c>
      <c r="AN21" s="1098">
        <f t="shared" si="5"/>
        <v>0</v>
      </c>
      <c r="AO21" s="1098">
        <f t="shared" si="5"/>
        <v>0</v>
      </c>
      <c r="AP21" s="1098">
        <f>IF(ISNUMBER(((Datos!L21/Datos!K21)*11)/factor_trimestre),((Datos!L21/Datos!K21)*11)/factor_trimestre," - ")</f>
        <v>6.6410256410256423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5.415162454873646E-3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11.547005383792516</v>
      </c>
      <c r="AM23" s="870"/>
      <c r="AN23" s="870">
        <f>IF(ISNUMBER(STDEV(AN8:AN20)),STDEV(AN8:AN20),"-")</f>
        <v>0</v>
      </c>
      <c r="AO23" s="876">
        <f>IF(ISNUMBER(STDEV(AO8:AO20)),STDEV(AO8:AO20),"-")</f>
        <v>0</v>
      </c>
      <c r="AP23" s="923">
        <f>IF(ISNUMBER(STDEV(AP8:AP20)),STDEV(AP8:AP20),"-")</f>
        <v>2.1631959401525256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Lc6JrwiOwGgNkittXmpYmDrzVPJ/BQOP39DMWEDOS0Zq/gaAzt46/nu2ClOcxCcmr1ND+Cm4MumHKWB6oYc1A==" saltValue="haI3OsIKDrKgfeH2+OoW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PALENCIA</v>
      </c>
      <c r="C3" s="427"/>
      <c r="F3" s="400"/>
      <c r="G3" s="400"/>
      <c r="H3" s="400"/>
    </row>
    <row r="4" spans="1:15" ht="13.5" thickBot="1">
      <c r="A4" s="400"/>
      <c r="B4" s="403" t="str">
        <f>Criterios!A11 &amp;"  "&amp;Criterios!B11</f>
        <v>Resumenes por Partidos Judiciales  CARRION DE LOS CONDES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7GEJSwcJIUhfWUqZGqWMbGkdVdMRofwulmKGSk0fIYi8Fna8U4O34l61rIhp993LGkkroQy+ZF44uRCyAq3Vg==" saltValue="q5XOcUed65NKOsW69dlnD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PALENCIA</v>
      </c>
      <c r="C3" s="439"/>
      <c r="D3" s="440"/>
    </row>
    <row r="4" spans="1:9" ht="13.5" thickBot="1">
      <c r="B4" s="441" t="str">
        <f>Criterios!A11 &amp;"  "&amp;Criterios!B11</f>
        <v>Resumenes por Partidos Judiciales  CARRION DE LOS CONDES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20</v>
      </c>
      <c r="E12" s="416">
        <f t="shared" si="0"/>
        <v>20</v>
      </c>
      <c r="F12" s="415">
        <f>IF(ISNUMBER(Datos!N12),Datos!N12," - ")</f>
        <v>41</v>
      </c>
      <c r="G12" s="416">
        <f t="shared" si="1"/>
        <v>41</v>
      </c>
      <c r="H12" s="415">
        <f>IF(ISNUMBER(Datos!O12),Datos!O12," - ")</f>
        <v>65</v>
      </c>
      <c r="I12" s="416">
        <f t="shared" si="2"/>
        <v>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20</v>
      </c>
      <c r="E14" s="997">
        <f t="shared" si="0"/>
        <v>10</v>
      </c>
      <c r="F14" s="996">
        <f>SUBTOTAL(9,F9:F13)</f>
        <v>41</v>
      </c>
      <c r="G14" s="997">
        <f t="shared" si="1"/>
        <v>20.5</v>
      </c>
      <c r="H14" s="996">
        <f>SUBTOTAL(9,H9:H13)</f>
        <v>65</v>
      </c>
      <c r="I14" s="997">
        <f>IF(ISNUMBER(H14/B14),H14/B14," - ")</f>
        <v>32.5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23</v>
      </c>
      <c r="E17" s="416">
        <f t="shared" si="3"/>
        <v>23</v>
      </c>
      <c r="F17" s="415">
        <f>IF(ISNUMBER(Datos!N17),Datos!N17," - ")</f>
        <v>70</v>
      </c>
      <c r="G17" s="416">
        <f t="shared" si="4"/>
        <v>70</v>
      </c>
      <c r="H17" s="415">
        <f>IF(ISNUMBER(Datos!O17),Datos!O17," - ")</f>
        <v>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23</v>
      </c>
      <c r="E20" s="997">
        <f t="shared" si="3"/>
        <v>11.5</v>
      </c>
      <c r="F20" s="996">
        <f>SUBTOTAL(9,F16:F19)</f>
        <v>78</v>
      </c>
      <c r="G20" s="997">
        <f t="shared" si="4"/>
        <v>39</v>
      </c>
      <c r="H20" s="996">
        <f>SUBTOTAL(9,H16:H19)</f>
        <v>2</v>
      </c>
      <c r="I20" s="997">
        <f>IF(ISNUMBER(H20/B20),H20/B20," - ")</f>
        <v>1</v>
      </c>
    </row>
    <row r="21" spans="1:9" ht="14.25" thickTop="1" thickBot="1">
      <c r="A21" s="940" t="str">
        <f>Datos!A21</f>
        <v>TOTAL JURISDICCIONES</v>
      </c>
      <c r="B21" s="941">
        <f>Datos!AP21</f>
        <v>1</v>
      </c>
      <c r="C21" s="941">
        <f>Datos!AR21</f>
        <v>1</v>
      </c>
      <c r="D21" s="941">
        <f>SUBTOTAL(9,D8:D20)</f>
        <v>43</v>
      </c>
      <c r="E21" s="942">
        <f>IF(ISNUMBER(D21/B21),D21/B21," - ")</f>
        <v>43</v>
      </c>
      <c r="F21" s="941">
        <f>SUBTOTAL(9,F8:F20)</f>
        <v>119</v>
      </c>
      <c r="G21" s="942">
        <f>IF(ISNUMBER(F21/B21),F21/B21," - ")</f>
        <v>119</v>
      </c>
      <c r="H21" s="941">
        <f>SUBTOTAL(9,H8:H20)</f>
        <v>67</v>
      </c>
      <c r="I21" s="942">
        <f>IF(ISNUMBER(H21/B21),H21/B21," - ")</f>
        <v>67</v>
      </c>
    </row>
    <row r="24" spans="1:9">
      <c r="A24" s="403" t="str">
        <f>Criterios!A4</f>
        <v>Fecha Informe: 06 jun. 2023</v>
      </c>
    </row>
    <row r="29" spans="1:9">
      <c r="A29" s="426"/>
    </row>
  </sheetData>
  <sheetProtection algorithmName="SHA-512" hashValue="PCzXVH8NjuzG59FHjILzDZTHkVRQb83Mw+fiY4Ge9WIPjEtBocad2Lrp1ZpPig64s7ATf7W2EzO6cuDHlUse2w==" saltValue="+bjs3yI1mKti1o0P/rxy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PALENCIA</v>
      </c>
    </row>
    <row r="4" spans="1:4" ht="13.5" thickBot="1">
      <c r="B4" s="403" t="str">
        <f>Criterios!A11 &amp;"  "&amp;Criterios!B11</f>
        <v>Resumenes por Partidos Judiciales  CARRION DE LOS CONDES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v>
      </c>
      <c r="C12" s="451">
        <f>IF(ISNUMBER(Datos!Q12),Datos!Q12," - ")</f>
        <v>18</v>
      </c>
      <c r="D12" s="420">
        <f>IF(ISNUMBER(Datos!R12),Datos!R12," - ")</f>
        <v>528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v>
      </c>
      <c r="C14" s="1000">
        <f>SUBTOTAL(9,C9:C13)</f>
        <v>18</v>
      </c>
      <c r="D14" s="998">
        <f>SUBTOTAL(9,D9:D13)</f>
        <v>528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2</v>
      </c>
      <c r="D17" s="420">
        <f>IF(ISNUMBER(Datos!R17),Datos!R17," - ")</f>
        <v>29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2</v>
      </c>
      <c r="D20" s="998">
        <f>SUBTOTAL(9,D16:D19)</f>
        <v>29</v>
      </c>
    </row>
    <row r="21" spans="1:4" ht="16.5" customHeight="1" thickTop="1" thickBot="1">
      <c r="A21" s="940" t="str">
        <f>Datos!A21</f>
        <v>TOTAL JURISDICCIONES</v>
      </c>
      <c r="B21" s="945">
        <f>SUBTOTAL(9,B8:B20)</f>
        <v>23</v>
      </c>
      <c r="C21" s="946">
        <f>SUBTOTAL(9,C8:C20)</f>
        <v>20</v>
      </c>
      <c r="D21" s="947">
        <f>SUBTOTAL(9,D8:D20)</f>
        <v>557</v>
      </c>
    </row>
    <row r="22" spans="1:4" ht="7.5" customHeight="1"/>
    <row r="23" spans="1:4" ht="6" customHeight="1"/>
    <row r="24" spans="1:4">
      <c r="A24" s="403" t="str">
        <f>Criterios!A4</f>
        <v>Fecha Informe: 06 jun. 2023</v>
      </c>
    </row>
    <row r="29" spans="1:4">
      <c r="A29" s="426"/>
    </row>
  </sheetData>
  <sheetProtection algorithmName="SHA-512" hashValue="YEHLRUSffpBti5ZbFjB7PQqq6sA3ysxpVkkE8GPNT4voi9fCfmBUSoh65l0kPaoZUX86rL3OxvoPlyeMSL/LMw==" saltValue="j1dfCiEGcI1hDgw8G8yq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PALENCIA</v>
      </c>
    </row>
    <row r="4" spans="1:11" ht="10.5" customHeight="1" thickBot="1">
      <c r="B4" s="403" t="str">
        <f>Criterios!A11 &amp;"  "&amp;Criterios!B11</f>
        <v>Resumenes por Partidos Judiciales  CARRION DE LOS CONDES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0.43703703703703706</v>
      </c>
      <c r="C12" s="473">
        <f>IF(ISNUMBER(
   IF(J_V="SI",(Datos!J12-Datos!T12)/Datos!T12,(Datos!J12+Datos!Z12-(Datos!T12+Datos!AH12))/(Datos!T12+Datos!AH12))
     ),IF(J_V="SI",(Datos!J12-Datos!T12)/Datos!T12,(Datos!J12+Datos!Z12-(Datos!T12+Datos!AH12))/(Datos!T12+Datos!AH12))," - ")</f>
        <v>-0.44117647058823528</v>
      </c>
      <c r="D12" s="473">
        <f>IF(ISNUMBER(
   IF(J_V="SI",(Datos!K12-Datos!U12)/Datos!U12,(Datos!K12+Datos!AA12-(Datos!U12+Datos!AI12))/(Datos!U12+Datos!AI12))
     ),IF(J_V="SI",(Datos!K12-Datos!U12)/Datos!U12,(Datos!K12+Datos!AA12-(Datos!U12+Datos!AI12))/(Datos!U12+Datos!AI12))," - ")</f>
        <v>-1.7699115044247787E-2</v>
      </c>
      <c r="E12" s="473">
        <f>IF(ISNUMBER(
   IF(J_V="SI",(Datos!L12-Datos!V12)/Datos!V12,(Datos!L12+Datos!AB12-(Datos!V12+Datos!AJ12))/(Datos!V12+Datos!AJ12))
     ),IF(J_V="SI",(Datos!L12-Datos!V12)/Datos!V12,(Datos!L12+Datos!AB12-(Datos!V12+Datos!AJ12))/(Datos!V12+Datos!AJ12))," - ")</f>
        <v>6.3291139240506328E-3</v>
      </c>
      <c r="F12" s="473">
        <f>IF(ISNUMBER((Datos!M12-Datos!W12)/Datos!W12),(Datos!M12-Datos!W12)/Datos!W12," - ")</f>
        <v>-0.2857142857142857</v>
      </c>
      <c r="G12" s="474">
        <f>IF(ISNUMBER((Datos!N12-Datos!X12)/Datos!X12),(Datos!N12-Datos!X12)/Datos!X12," - ")</f>
        <v>0</v>
      </c>
      <c r="H12" s="472">
        <f>IF(ISNUMBER(((NºAsuntos!G12/NºAsuntos!E12)-Datos!BD12)/Datos!BD12),((NºAsuntos!G12/NºAsuntos!E12)-Datos!BD12)/Datos!BD12," - ")</f>
        <v>0.75780158360503014</v>
      </c>
      <c r="I12" s="473">
        <f>IF(ISNUMBER(((NºAsuntos!I12/NºAsuntos!G12)-Datos!BE12)/Datos!BE12),((NºAsuntos!I12/NºAsuntos!G12)-Datos!BE12)/Datos!BE12," - ")</f>
        <v>2.4461170030790336E-2</v>
      </c>
      <c r="J12" s="478">
        <f>IF(ISNUMBER((('Resol  Asuntos'!D12/NºAsuntos!G12)-Datos!BF12)/Datos!BF12),(('Resol  Asuntos'!D12/NºAsuntos!G12)-Datos!BF12)/Datos!BF12," - ")</f>
        <v>-0.50340584486925954</v>
      </c>
      <c r="K12" s="479">
        <f>IF(ISNUMBER((((NºAsuntos!C12+NºAsuntos!E12)/NºAsuntos!G12)-Datos!BG12)/Datos!BG12),(((NºAsuntos!C12+NºAsuntos!E12)/NºAsuntos!G12)-Datos!BG12)/Datos!BG12," - ")</f>
        <v>1.4261493966291044E-2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0.44444444444444442</v>
      </c>
      <c r="C14" s="1002">
        <f>IF(ISNUMBER(
   IF(J_V="SI",(Datos!J14-Datos!T14)/Datos!T14,(Datos!J14+Datos!Z14-(Datos!T14+Datos!AH14))/(Datos!T14+Datos!AH14))
     ),IF(J_V="SI",(Datos!J14-Datos!T14)/Datos!T14,(Datos!J14+Datos!Z14-(Datos!T14+Datos!AH14))/(Datos!T14+Datos!AH14))," - ")</f>
        <v>-0.44117647058823528</v>
      </c>
      <c r="D14" s="1002">
        <f>IF(ISNUMBER(
   IF(J_V="SI",(Datos!K14-Datos!U14)/Datos!U14,(Datos!K14+Datos!AA14-(Datos!U14+Datos!AI14))/(Datos!U14+Datos!AI14))
     ),IF(J_V="SI",(Datos!K14-Datos!U14)/Datos!U14,(Datos!K14+Datos!AA14-(Datos!U14+Datos!AI14))/(Datos!U14+Datos!AI14))," - ")</f>
        <v>-1.7699115044247787E-2</v>
      </c>
      <c r="E14" s="1002">
        <f>IF(ISNUMBER(
   IF(J_V="SI",(Datos!L14-Datos!V14)/Datos!V14,(Datos!L14+Datos!AB14-(Datos!V14+Datos!AJ14))/(Datos!V14+Datos!AJ14))
     ),IF(J_V="SI",(Datos!L14-Datos!V14)/Datos!V14,(Datos!L14+Datos!AB14-(Datos!V14+Datos!AJ14))/(Datos!V14+Datos!AJ14))," - ")</f>
        <v>1.2658227848101266E-2</v>
      </c>
      <c r="F14" s="1003">
        <f>IF(ISNUMBER((Datos!M14-Datos!W14)/Datos!W14),(Datos!M14-Datos!W14)/Datos!W14," - ")</f>
        <v>-0.2857142857142857</v>
      </c>
      <c r="G14" s="1004">
        <f>IF(ISNUMBER((Datos!N14-Datos!X14)/Datos!X14),(Datos!N14-Datos!X14)/Datos!X14," - ")</f>
        <v>0</v>
      </c>
      <c r="H14" s="1004">
        <f>IF(ISNUMBER(((NºAsuntos!G14/NºAsuntos!E14)-Datos!BD14)/Datos!BD14),((NºAsuntos!G14/NºAsuntos!E14)-Datos!BD14)/Datos!BD14," - ")</f>
        <v>0.75780158360503014</v>
      </c>
      <c r="I14" s="1004">
        <f>IF(ISNUMBER(((NºAsuntos!I14/NºAsuntos!G14)-Datos!BE14)/Datos!BE14),((NºAsuntos!I14/NºAsuntos!G14)-Datos!BE14)/Datos!BE14," - ")</f>
        <v>3.0904322043562537E-2</v>
      </c>
      <c r="J14" s="1004">
        <f>IF(ISNUMBER((('Resol  Asuntos'!D14/NºAsuntos!G14)-Datos!BF14)/Datos!BF14),(('Resol  Asuntos'!D14/NºAsuntos!G14)-Datos!BF14)/Datos!BF14," - ")</f>
        <v>-0.50340584486925954</v>
      </c>
      <c r="K14" s="1004">
        <f>IF(ISNUMBER((((NºAsuntos!C14+NºAsuntos!E14)/NºAsuntos!G14)-Datos!BG14)/Datos!BG14),(((NºAsuntos!C14+NºAsuntos!E14)/NºAsuntos!G14)-Datos!BG14)/Datos!BG14," - ")</f>
        <v>1.8018018018018011E-2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0.48717948717948717</v>
      </c>
      <c r="C17" s="473">
        <f>IF(ISNUMBER(
   IF(D_I="SI",(Datos!J17-Datos!T17)/Datos!T17,(Datos!J17+Datos!AD17-(Datos!T17+Datos!AL17))/(Datos!T17+Datos!AL17))
     ),IF(D_I="SI",(Datos!J17-Datos!T17)/Datos!T17,(Datos!J17+Datos!AD17-(Datos!T17+Datos!AL17))/(Datos!T17+Datos!AL17))," - ")</f>
        <v>0.61946902654867253</v>
      </c>
      <c r="D17" s="473">
        <f>IF(ISNUMBER(
   IF(D_I="SI",(Datos!K17-Datos!U17)/Datos!U17,(Datos!K17+Datos!AE17-(Datos!U17+Datos!AM17))/(Datos!U17+Datos!AM17))
     ),IF(D_I="SI",(Datos!K17-Datos!U17)/Datos!U17,(Datos!K17+Datos!AE17-(Datos!U17+Datos!AM17))/(Datos!U17+Datos!AM17))," - ")</f>
        <v>1.6E-2</v>
      </c>
      <c r="E17" s="473">
        <f>IF(ISNUMBER(
   IF(D_I="SI",(Datos!L17-Datos!V17)/Datos!V17,(Datos!L17+Datos!AF17-(Datos!V17+Datos!AN17))/(Datos!V17+Datos!AN17))
     ),IF(D_I="SI",(Datos!L17-Datos!V17)/Datos!V17,(Datos!L17+Datos!AF17-(Datos!V17+Datos!AN17))/(Datos!V17+Datos!AN17))," - ")</f>
        <v>0.42386831275720166</v>
      </c>
      <c r="F17" s="473">
        <f>IF(ISNUMBER((Datos!M17-Datos!W17)/Datos!W17),(Datos!M17-Datos!W17)/Datos!W17," - ")</f>
        <v>0.76923076923076927</v>
      </c>
      <c r="G17" s="474">
        <f>IF(ISNUMBER((Datos!N17-Datos!X17)/Datos!X17),(Datos!N17-Datos!X17)/Datos!X17," - ")</f>
        <v>1.4492753623188406E-2</v>
      </c>
      <c r="H17" s="472">
        <f>IF(ISNUMBER(((NºAsuntos!G17/NºAsuntos!E17)-Datos!BD17)/Datos!BD17),((NºAsuntos!G17/NºAsuntos!E17)-Datos!BD17)/Datos!BD17," - ")</f>
        <v>-0.37263387978142076</v>
      </c>
      <c r="I17" s="473">
        <f>IF(ISNUMBER(((NºAsuntos!I17/NºAsuntos!G17)-Datos!BE17)/Datos!BE17),((NºAsuntos!I17/NºAsuntos!G17)-Datos!BE17)/Datos!BE17," - ")</f>
        <v>0.40144518972165522</v>
      </c>
      <c r="J17" s="478">
        <f>IF(ISNUMBER((('Resol  Asuntos'!D17/NºAsuntos!G17)-Datos!BF17)/Datos!BF17),(('Resol  Asuntos'!D17/NºAsuntos!G17)-Datos!BF17)/Datos!BF17," - ")</f>
        <v>0.74136886735311947</v>
      </c>
      <c r="K17" s="479">
        <f>IF(ISNUMBER((((NºAsuntos!C17+NºAsuntos!E17)/NºAsuntos!G17)-Datos!BG17)/Datos!BG17),(((NºAsuntos!C17+NºAsuntos!E17)/NºAsuntos!G17)-Datos!BG17)/Datos!BG17," - ")</f>
        <v>0.51152980877390331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v>
      </c>
      <c r="C18" s="473">
        <f>IF(ISNUMBER(
   IF(D_I="SI",(Datos!J18-Datos!T18)/Datos!T18,(Datos!J18+Datos!AD18-(Datos!T18+Datos!AL18))/(Datos!T18+Datos!AL18))
     ),IF(D_I="SI",(Datos!J18-Datos!T18)/Datos!T18,(Datos!J18+Datos!AD18-(Datos!T18+Datos!AL18))/(Datos!T18+Datos!AL18))," - ")</f>
        <v>-0.33333333333333331</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0.88888888888888884</v>
      </c>
      <c r="F18" s="473">
        <f>IF(ISNUMBER((Datos!M18-Datos!W18)/Datos!W18),(Datos!M18-Datos!W18)/Datos!W18," - ")</f>
        <v>-1</v>
      </c>
      <c r="G18" s="474">
        <f>IF(ISNUMBER((Datos!N18-Datos!X18)/Datos!X18),(Datos!N18-Datos!X18)/Datos!X18," - ")</f>
        <v>1.6666666666666667</v>
      </c>
      <c r="H18" s="472">
        <f>IF(ISNUMBER(((NºAsuntos!G18/NºAsuntos!E18)-Datos!BD18)/Datos!BD18),((NºAsuntos!G18/NºAsuntos!E18)-Datos!BD18)/Datos!BD18," - ")</f>
        <v>-0.10000000000000003</v>
      </c>
      <c r="I18" s="473">
        <f>IF(ISNUMBER(((NºAsuntos!I18/NºAsuntos!G18)-Datos!BE18)/Datos!BE18),((NºAsuntos!I18/NºAsuntos!G18)-Datos!BE18)/Datos!BE18," - ")</f>
        <v>2.1481481481481484</v>
      </c>
      <c r="J18" s="478">
        <f>IF(ISNUMBER((('Resol  Asuntos'!D18/NºAsuntos!G18)-Datos!BF18)/Datos!BF18),(('Resol  Asuntos'!D18/NºAsuntos!G18)-Datos!BF18)/Datos!BF18," - ")</f>
        <v>-1</v>
      </c>
      <c r="K18" s="479">
        <f>IF(ISNUMBER((((NºAsuntos!C18+NºAsuntos!E18)/NºAsuntos!G18)-Datos!BG18)/Datos!BG18),(((NºAsuntos!C18+NºAsuntos!E18)/NºAsuntos!G18)-Datos!BG18)/Datos!BG18," - ")</f>
        <v>1.0175438596491231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0.4975609756097561</v>
      </c>
      <c r="C20" s="1002">
        <f>IF(ISNUMBER(
   IF(Criterios!B14="SI",(Datos!J20-Datos!T20)/Datos!T20,(Datos!J20+Datos!AD20-(Datos!T20+Datos!AL20))/(Datos!T20+Datos!AL20))
     ),IF(Criterios!B14="SI",(Datos!J20-Datos!T20)/Datos!T20,(Datos!J20+Datos!AD20-(Datos!T20+Datos!AL20))/(Datos!T20+Datos!AL20))," - ")</f>
        <v>0.54918032786885251</v>
      </c>
      <c r="D20" s="1002">
        <f>IF(ISNUMBER(
   IF(Criterios!B14="SI",(Datos!K20-Datos!U20)/Datos!U20,(Datos!K20+Datos!AE20-(Datos!U20+Datos!AM20))/(Datos!U20+Datos!AM20))
     ),IF(Criterios!B14="SI",(Datos!K20-Datos!U20)/Datos!U20,(Datos!K20+Datos!AE20-(Datos!U20+Datos!AM20))/(Datos!U20+Datos!AM20))," - ")</f>
        <v>-1.4814814814814815E-2</v>
      </c>
      <c r="E20" s="1002">
        <f>IF(ISNUMBER(
   IF(Criterios!B14="SI",(Datos!L20-Datos!V20)/Datos!V20,(Datos!L20+Datos!AF20-(Datos!V20+Datos!AN20))/(Datos!V20+Datos!AN20))
     ),IF(Criterios!B14="SI",(Datos!L20-Datos!V20)/Datos!V20,(Datos!L20+Datos!AF20-(Datos!V20+Datos!AN20))/(Datos!V20+Datos!AN20))," - ")</f>
        <v>0.44047619047619047</v>
      </c>
      <c r="F20" s="1003">
        <f>IF(ISNUMBER((Datos!M20-Datos!W20)/Datos!W20),(Datos!M20-Datos!W20)/Datos!W20," - ")</f>
        <v>0.6428571428571429</v>
      </c>
      <c r="G20" s="1004">
        <f>IF(ISNUMBER((Datos!N20-Datos!X20)/Datos!X20),(Datos!N20-Datos!X20)/Datos!X20," - ")</f>
        <v>8.3333333333333329E-2</v>
      </c>
      <c r="H20" s="1004">
        <f>IF(ISNUMBER(((NºAsuntos!G20/NºAsuntos!E20)-Datos!BD20)/Datos!BD20),((NºAsuntos!G20/NºAsuntos!E20)-Datos!BD20)/Datos!BD20," - ")</f>
        <v>-0.36406035665294922</v>
      </c>
      <c r="I20" s="1004">
        <f>IF(ISNUMBER(((NºAsuntos!I20/NºAsuntos!G20)-Datos!BE20)/Datos!BE20),((NºAsuntos!I20/NºAsuntos!G20)-Datos!BE20)/Datos!BE20," - ")</f>
        <v>0.46213748657357667</v>
      </c>
      <c r="J20" s="1004">
        <f>IF(ISNUMBER((('Resol  Asuntos'!D20/NºAsuntos!G20)-Datos!BF20)/Datos!BF20),(('Resol  Asuntos'!D20/NºAsuntos!G20)-Datos!BF20)/Datos!BF20," - ")</f>
        <v>0.66756176154672386</v>
      </c>
      <c r="K20" s="1004">
        <f>IF(ISNUMBER((((NºAsuntos!C20+NºAsuntos!E20)/NºAsuntos!G20)-Datos!BG20)/Datos!BG20),(((NºAsuntos!C20+NºAsuntos!E20)/NºAsuntos!G20)-Datos!BG20)/Datos!BG20," - ")</f>
        <v>0.53962888873560044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0.47647058823529409</v>
      </c>
      <c r="C21" s="949">
        <f>IF(ISNUMBER(
   IF(J_V="SI",(Datos!J21-Datos!T21)/Datos!T21,(Datos!J21+Datos!Z21-(Datos!T21+Datos!AH21))/(Datos!T21+Datos!AH21))
     ),IF(J_V="SI",(Datos!J21-Datos!T21)/Datos!T21,(Datos!J21+Datos!Z21-(Datos!T21+Datos!AH21))/(Datos!T21+Datos!AH21))," - ")</f>
        <v>2.7131782945736434E-2</v>
      </c>
      <c r="D21" s="949">
        <f>IF(ISNUMBER(
   IF(J_V="SI",(Datos!K21-Datos!U21)/Datos!U21,(Datos!K21+Datos!AA21-(Datos!U21+Datos!AI21))/(Datos!U21+Datos!AI21))
     ),IF(J_V="SI",(Datos!K21-Datos!U21)/Datos!U21,(Datos!K21+Datos!AA21-(Datos!U21+Datos!AI21))/(Datos!U21+Datos!AI21))," - ")</f>
        <v>-1.6129032258064516E-2</v>
      </c>
      <c r="E21" s="949">
        <f>IF(ISNUMBER(
   IF(J_V="SI",(Datos!L21-Datos!V21)/Datos!V21,(Datos!L21+Datos!AB21-(Datos!V21+Datos!AJ21))/(Datos!V21+Datos!AJ21))
     ),IF(J_V="SI",(Datos!L21-Datos!V21)/Datos!V21,(Datos!L21+Datos!AB21-(Datos!V21+Datos!AJ21))/(Datos!V21+Datos!AJ21))," - ")</f>
        <v>0.275609756097561</v>
      </c>
      <c r="F21" s="950">
        <f>IF(ISNUMBER((Datos!M21-Datos!W21)/Datos!W21),(Datos!M21-Datos!W21)/Datos!W21," - ")</f>
        <v>2.3809523809523808E-2</v>
      </c>
      <c r="G21" s="951">
        <f>IF(ISNUMBER((Datos!N21-Datos!X21)/Datos!X21),(Datos!N21-Datos!X21)/Datos!X21," - ")</f>
        <v>5.3097345132743362E-2</v>
      </c>
      <c r="H21" s="952">
        <f>IF(ISNUMBER((Tasas!B21-Datos!BD21)/Datos!BD21),(Tasas!B21-Datos!BD21)/Datos!BD21," - ")</f>
        <v>-4.211807668898359E-2</v>
      </c>
      <c r="I21" s="953">
        <f>IF(ISNUMBER((Tasas!C21-Datos!BE21)/Datos!BE21),(Tasas!C21-Datos!BE21)/Datos!BE21," - ")</f>
        <v>0.29652139144342254</v>
      </c>
      <c r="J21" s="954">
        <f>IF(ISNUMBER((Tasas!D21-Datos!BF21)/Datos!BF21),(Tasas!D21-Datos!BF21)/Datos!BF21," - ")</f>
        <v>-0.20536512667660206</v>
      </c>
      <c r="K21" s="954">
        <f>IF(ISNUMBER((Tasas!E21-Datos!BG21)/Datos!BG21),(Tasas!E21-Datos!BG21)/Datos!BG21," - ")</f>
        <v>0.30363506771204568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RnJcp2bqt2sBvb9/leL2V2ce+TkKu1zzHwWgWZmRYSIkpCn3lzvZQZAKFxDC2bCfjoYNIK+3umkIGwxTWOY0A==" saltValue="riZ2OdHH/wr9rc4taR7Ie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PALENCIA</v>
      </c>
    </row>
    <row r="4" spans="1:7" ht="11.25" customHeight="1" thickBot="1">
      <c r="B4" s="403" t="str">
        <f>Criterios!A11 &amp;"  "&amp;Criterios!B11</f>
        <v>Resumenes por Partidos Judiciales  CARRION DE LOS CONDES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1.4605263157894737</v>
      </c>
      <c r="C12" s="460">
        <f>IF(ISNUMBER(NºAsuntos!I12/NºAsuntos!G12),NºAsuntos!I12/NºAsuntos!G12," - ")</f>
        <v>1.4324324324324325</v>
      </c>
      <c r="D12" s="461">
        <f>IF(ISNUMBER('Resol  Asuntos'!D12/NºAsuntos!G12),'Resol  Asuntos'!D12/NºAsuntos!G12," - ")</f>
        <v>0.18018018018018017</v>
      </c>
      <c r="E12" s="462">
        <f>IF(ISNUMBER((NºAsuntos!C12+NºAsuntos!E12)/NºAsuntos!G12),(NºAsuntos!C12+NºAsuntos!E12)/NºAsuntos!G12," - ")</f>
        <v>2.4324324324324325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1.4605263157894737</v>
      </c>
      <c r="C14" s="1006">
        <f>IF(ISNUMBER(NºAsuntos!I14/NºAsuntos!G14),NºAsuntos!I14/NºAsuntos!G14," - ")</f>
        <v>1.4414414414414414</v>
      </c>
      <c r="D14" s="1007">
        <f>IF(ISNUMBER('Resol  Asuntos'!D14/NºAsuntos!G14),'Resol  Asuntos'!D14/NºAsuntos!G14," - ")</f>
        <v>0.18018018018018017</v>
      </c>
      <c r="E14" s="1008">
        <f>IF(ISNUMBER((NºAsuntos!C14+NºAsuntos!E14)/NºAsuntos!G14),(NºAsuntos!C14+NºAsuntos!E14)/NºAsuntos!G14," - ")</f>
        <v>2.4414414414414414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0.69398907103825136</v>
      </c>
      <c r="C17" s="460">
        <f>IF(ISNUMBER(NºAsuntos!I17/NºAsuntos!G17),NºAsuntos!I17/NºAsuntos!G17," - ")</f>
        <v>2.7244094488188977</v>
      </c>
      <c r="D17" s="461">
        <f>IF(ISNUMBER('Resol  Asuntos'!D17/NºAsuntos!G17),'Resol  Asuntos'!D17/NºAsuntos!G17," - ")</f>
        <v>0.18110236220472442</v>
      </c>
      <c r="E17" s="462">
        <f>IF(ISNUMBER((NºAsuntos!C17+NºAsuntos!E17)/NºAsuntos!G17),(NºAsuntos!C17+NºAsuntos!E17)/NºAsuntos!G17," - ")</f>
        <v>3.7244094488188977</v>
      </c>
      <c r="G17" s="480"/>
    </row>
    <row r="18" spans="1:7">
      <c r="A18" s="414" t="str">
        <f>Datos!A18</f>
        <v>Jdos. Violencia contra la mujer</v>
      </c>
      <c r="B18" s="459">
        <f>IF(ISNUMBER(NºAsuntos!G18/NºAsuntos!E18),NºAsuntos!G18/NºAsuntos!E18," - ")</f>
        <v>1</v>
      </c>
      <c r="C18" s="460">
        <f>IF(ISNUMBER(NºAsuntos!I18/NºAsuntos!G18),NºAsuntos!I18/NºAsuntos!G18," - ")</f>
        <v>2.8333333333333335</v>
      </c>
      <c r="D18" s="461">
        <f>IF(ISNUMBER('Resol  Asuntos'!D18/NºAsuntos!G18),'Resol  Asuntos'!D18/NºAsuntos!G18," - ")</f>
        <v>0</v>
      </c>
      <c r="E18" s="462">
        <f>IF(ISNUMBER((NºAsuntos!C18+NºAsuntos!E18)/NºAsuntos!G18),(NºAsuntos!C18+NºAsuntos!E18)/NºAsuntos!G18," - ")</f>
        <v>3.8333333333333335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0.70370370370370372</v>
      </c>
      <c r="C20" s="1006">
        <f>IF(ISNUMBER(NºAsuntos!I20/NºAsuntos!G20),NºAsuntos!I20/NºAsuntos!G20," - ")</f>
        <v>2.7293233082706765</v>
      </c>
      <c r="D20" s="1009">
        <f>IF(ISNUMBER('Resol  Asuntos'!D20/NºAsuntos!G20),'Resol  Asuntos'!D20/NºAsuntos!G20," - ")</f>
        <v>0.17293233082706766</v>
      </c>
      <c r="E20" s="1008">
        <f>IF(ISNUMBER((NºAsuntos!C20+NºAsuntos!E20)/NºAsuntos!G20),(NºAsuntos!C20+NºAsuntos!E20)/NºAsuntos!G20," - ")</f>
        <v>3.7293233082706765</v>
      </c>
      <c r="G20" s="480"/>
    </row>
    <row r="21" spans="1:7" ht="15.75" customHeight="1" thickTop="1" thickBot="1">
      <c r="A21" s="940" t="str">
        <f>Datos!A21</f>
        <v>TOTAL JURISDICCIONES</v>
      </c>
      <c r="B21" s="955">
        <f>IF(ISNUMBER(NºAsuntos!G21/NºAsuntos!E21),NºAsuntos!G21/NºAsuntos!E21," - ")</f>
        <v>0.92075471698113209</v>
      </c>
      <c r="C21" s="956">
        <f>IF(ISNUMBER(NºAsuntos!I21/NºAsuntos!G21),NºAsuntos!I21/NºAsuntos!G21," - ")</f>
        <v>2.1434426229508197</v>
      </c>
      <c r="D21" s="957">
        <f>IF(ISNUMBER('Resol  Asuntos'!D21/NºAsuntos!G21),'Resol  Asuntos'!D21/NºAsuntos!G21," - ")</f>
        <v>0.17622950819672131</v>
      </c>
      <c r="E21" s="958">
        <f>IF(ISNUMBER((NºAsuntos!C21+NºAsuntos!E21)/NºAsuntos!G21),(NºAsuntos!C21+NºAsuntos!E21)/NºAsuntos!G21," - ")</f>
        <v>3.1434426229508197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x7utmtpU21KceE6JbZ9e3WW9JMA018dtlLGawhnO4mFclFNamHmmG1T9pdZXQa+KqoV5NutxZYsbNshqjsqkA==" saltValue="dGqA7NecBkOFhYGl0M310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PALENCIA</v>
      </c>
      <c r="N2" s="339" t="str">
        <f>Criterios!A11 &amp;"  "&amp;Criterios!B11</f>
        <v>Resumenes por Partidos Judiciales  CARRION DE LOS CONDES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v>
      </c>
      <c r="Y12" s="344">
        <f t="shared" si="0"/>
        <v>18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528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20</v>
      </c>
      <c r="AJ12" s="234" t="str">
        <f>IF(ISNUMBER(Datos!BW12),Datos!BW12," - ")</f>
        <v xml:space="preserve"> - </v>
      </c>
      <c r="AK12" s="233" t="str">
        <f>IF(ISNUMBER(Datos!BX12),Datos!BX12," - ")</f>
        <v xml:space="preserve"> - </v>
      </c>
      <c r="AL12" s="248">
        <f>IF(ISNUMBER(NºAsuntos!G12/NºAsuntos!E12),NºAsuntos!G12/NºAsuntos!E12," - ")</f>
        <v>1.4605263157894737</v>
      </c>
      <c r="AM12" s="265">
        <f>IF(ISNUMBER(((NºAsuntos!I12/NºAsuntos!G12)*11)/factor_trimestre),((NºAsuntos!I12/NºAsuntos!G12)*11)/factor_trimestre," - ")</f>
        <v>4.2972972972972974</v>
      </c>
      <c r="AN12" s="249">
        <f>IF(ISNUMBER('Resol  Asuntos'!D12/NºAsuntos!G12),'Resol  Asuntos'!D12/NºAsuntos!G12," - ")</f>
        <v>0.18018018018018017</v>
      </c>
      <c r="AO12" s="250">
        <f>IF(ISNUMBER((NºAsuntos!C12+NºAsuntos!E12)/NºAsuntos!G12),(NºAsuntos!C12+NºAsuntos!E12)/NºAsuntos!G12," - ")</f>
        <v>2.4324324324324325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17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18</v>
      </c>
      <c r="Y14" s="1015">
        <f t="shared" si="6"/>
        <v>18</v>
      </c>
      <c r="Z14" s="1015">
        <f t="shared" si="6"/>
        <v>0</v>
      </c>
      <c r="AA14" s="1015">
        <f t="shared" si="6"/>
        <v>1</v>
      </c>
      <c r="AB14" s="1015">
        <f t="shared" si="6"/>
        <v>528</v>
      </c>
      <c r="AC14" s="1015">
        <f t="shared" si="6"/>
        <v>1</v>
      </c>
      <c r="AD14" s="1015">
        <f t="shared" si="6"/>
        <v>0</v>
      </c>
      <c r="AE14" s="1019">
        <f t="shared" si="6"/>
        <v>0</v>
      </c>
      <c r="AF14" s="1012">
        <f t="shared" si="6"/>
        <v>0</v>
      </c>
      <c r="AG14" s="1020">
        <f t="shared" si="6"/>
        <v>0</v>
      </c>
      <c r="AH14" s="1017">
        <f t="shared" si="6"/>
        <v>0</v>
      </c>
      <c r="AI14" s="1012">
        <f t="shared" si="6"/>
        <v>20</v>
      </c>
      <c r="AJ14" s="1014">
        <f t="shared" si="6"/>
        <v>0</v>
      </c>
      <c r="AK14" s="1017">
        <f>SUBTOTAL(9,AK9:AK13)</f>
        <v>0</v>
      </c>
      <c r="AL14" s="1021">
        <f>IF(ISNUMBER(NºAsuntos!G14/NºAsuntos!E14),NºAsuntos!G14/NºAsuntos!E14," - ")</f>
        <v>1.4605263157894737</v>
      </c>
      <c r="AM14" s="1021">
        <f>IF(ISNUMBER(((NºAsuntos!I14/NºAsuntos!G14)*11)/factor_trimestre),((NºAsuntos!I14/NºAsuntos!G14)*11)/factor_trimestre," - ")</f>
        <v>4.3243243243243246</v>
      </c>
      <c r="AN14" s="1022">
        <f>IF(ISNUMBER('Resol  Asuntos'!D14/NºAsuntos!G14),'Resol  Asuntos'!D14/NºAsuntos!G14," - ")</f>
        <v>0.18018018018018017</v>
      </c>
      <c r="AO14" s="1023">
        <f>IF(ISNUMBER((NºAsuntos!C14+NºAsuntos!E14)/NºAsuntos!G14),(NºAsuntos!C14+NºAsuntos!E14)/NºAsuntos!G14," - ")</f>
        <v>2.4414414414414414</v>
      </c>
      <c r="AP14" s="1024" t="str">
        <f t="shared" si="2"/>
        <v xml:space="preserve"> - </v>
      </c>
      <c r="AQ14" s="1024">
        <f>IF(ISNUMBER((H14-W14+K14)/(F14)),(H14-W14+K14)/(F14)," - ")</f>
        <v>0</v>
      </c>
      <c r="AR14" s="1025">
        <f>IF(ISNUMBER((Datos!P14-Datos!Q14)/(Datos!R14-Datos!P14+Datos!Q14)),(Datos!P14-Datos!Q14)/(Datos!R14-Datos!P14+Datos!Q14)," - ")</f>
        <v>-1.890359168241966E-3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290</v>
      </c>
      <c r="G17" s="343">
        <f>IF(ISNUMBER(IF(D_I="SI",Datos!I17,Datos!I17+Datos!AC17)),IF(D_I="SI",Datos!I17,Datos!I17+Datos!AC17)," - ")</f>
        <v>290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127</v>
      </c>
      <c r="X17" s="231">
        <f>IF(ISNUMBER(Datos!Q17),Datos!Q17," - ")</f>
        <v>2</v>
      </c>
      <c r="Y17" s="344">
        <f t="shared" ref="Y17:Y19" si="9">SUM(W17:X17)</f>
        <v>129</v>
      </c>
      <c r="Z17" s="345" t="str">
        <f>IF(ISNUMBER(Datos!CC17),Datos!CC17," - ")</f>
        <v xml:space="preserve"> - </v>
      </c>
      <c r="AA17" s="342">
        <f>IF(ISNUMBER(IF(D_I="SI",Datos!L17,Datos!L17+Datos!AF17)),IF(D_I="SI",Datos!L17,Datos!L17+Datos!AF17)," - ")</f>
        <v>346</v>
      </c>
      <c r="AB17" s="344">
        <f>IF(ISNUMBER(Datos!R17),Datos!R17," - ")</f>
        <v>29</v>
      </c>
      <c r="AC17" s="344">
        <f t="shared" si="8"/>
        <v>375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v>
      </c>
      <c r="AJ17" s="236" t="str">
        <f>IF(ISNUMBER(Datos!BW17),Datos!BW17," - ")</f>
        <v xml:space="preserve"> - </v>
      </c>
      <c r="AK17" s="237" t="str">
        <f>IF(ISNUMBER(Datos!BX17),Datos!BX17," - ")</f>
        <v xml:space="preserve"> - </v>
      </c>
      <c r="AL17" s="248">
        <f>IF(ISNUMBER(NºAsuntos!G17/NºAsuntos!E17),NºAsuntos!G17/NºAsuntos!E17," - ")</f>
        <v>0.69398907103825136</v>
      </c>
      <c r="AM17" s="265">
        <f>IF(ISNUMBER(((NºAsuntos!I17/NºAsuntos!G17)*11)/factor_trimestre),((NºAsuntos!I17/NºAsuntos!G17)*11)/factor_trimestre," - ")</f>
        <v>8.1732283464566926</v>
      </c>
      <c r="AN17" s="249">
        <f>IF(ISNUMBER('Resol  Asuntos'!D17/NºAsuntos!G17),'Resol  Asuntos'!D17/NºAsuntos!G17," - ")</f>
        <v>0.18110236220472442</v>
      </c>
      <c r="AO17" s="250">
        <f>IF(ISNUMBER((NºAsuntos!C17+NºAsuntos!E17)/NºAsuntos!G17),(NºAsuntos!C17+NºAsuntos!E17)/NºAsuntos!G17," - ")</f>
        <v>3.7244094488188977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17</v>
      </c>
      <c r="AB18" s="344">
        <f>IF(ISNUMBER(Datos!R18),Datos!R18," - ")</f>
        <v>0</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8.5</v>
      </c>
      <c r="AN18" s="249">
        <f>IF(ISNUMBER('Resol  Asuntos'!D18/NºAsuntos!G18),'Resol  Asuntos'!D18/NºAsuntos!G18," - ")</f>
        <v>0</v>
      </c>
      <c r="AO18" s="250">
        <f>IF(ISNUMBER((NºAsuntos!C18+NºAsuntos!E18)/NºAsuntos!G18),(NºAsuntos!C18+NºAsuntos!E18)/NºAsuntos!G18," - ")</f>
        <v>3.8333333333333335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290</v>
      </c>
      <c r="G20" s="1013">
        <f>SUBTOTAL(9,G16:G19)</f>
        <v>307</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133</v>
      </c>
      <c r="X20" s="1014">
        <f t="shared" si="13"/>
        <v>2</v>
      </c>
      <c r="Y20" s="1015">
        <f t="shared" si="13"/>
        <v>135</v>
      </c>
      <c r="Z20" s="1015">
        <f t="shared" si="13"/>
        <v>0</v>
      </c>
      <c r="AA20" s="1015">
        <f t="shared" si="13"/>
        <v>363</v>
      </c>
      <c r="AB20" s="1015">
        <f t="shared" si="13"/>
        <v>29</v>
      </c>
      <c r="AC20" s="1015">
        <f t="shared" si="13"/>
        <v>392</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0.70370370370370372</v>
      </c>
      <c r="AM20" s="1021">
        <f>IF(ISNUMBER(((NºAsuntos!I20/NºAsuntos!G20)*11)/factor_trimestre),((NºAsuntos!I20/NºAsuntos!G20)*11)/factor_trimestre," - ")</f>
        <v>8.1879699248120303</v>
      </c>
      <c r="AN20" s="1022">
        <f>IF(ISNUMBER('Resol  Asuntos'!D20/NºAsuntos!G20),'Resol  Asuntos'!D20/NºAsuntos!G20," - ")</f>
        <v>0.17293233082706766</v>
      </c>
      <c r="AO20" s="1023">
        <f>IF(ISNUMBER((NºAsuntos!C20+NºAsuntos!E20)/NºAsuntos!G20),(NºAsuntos!C20+NºAsuntos!E20)/NºAsuntos!G20," - ")</f>
        <v>3.7293233082706765</v>
      </c>
      <c r="AP20" s="1024" t="str">
        <f t="shared" si="2"/>
        <v xml:space="preserve"> - </v>
      </c>
      <c r="AQ20" s="1024">
        <f>IF(ISNUMBER((H20-W20+K20)/(F20)),(H20-W20+K20)/(F20)," - ")</f>
        <v>-0.45862068965517239</v>
      </c>
      <c r="AR20" s="1025">
        <f>IF(ISNUMBER((Datos!P20-Datos!Q20)/(Datos!R20-Datos!P20+Datos!Q20)),(Datos!P20-Datos!Q20)/(Datos!R20-Datos!P20+Datos!Q20)," - ")</f>
        <v>0.16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291</v>
      </c>
      <c r="G21" s="968">
        <f t="shared" si="15"/>
        <v>308</v>
      </c>
      <c r="H21" s="967">
        <f t="shared" si="15"/>
        <v>0</v>
      </c>
      <c r="I21" s="969">
        <f t="shared" si="15"/>
        <v>0</v>
      </c>
      <c r="J21" s="969">
        <f t="shared" si="15"/>
        <v>0</v>
      </c>
      <c r="K21" s="1028">
        <f t="shared" si="15"/>
        <v>0</v>
      </c>
      <c r="L21" s="969">
        <f t="shared" si="15"/>
        <v>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133</v>
      </c>
      <c r="X21" s="968">
        <f t="shared" si="16"/>
        <v>20</v>
      </c>
      <c r="Y21" s="975">
        <f t="shared" si="16"/>
        <v>153</v>
      </c>
      <c r="Z21" s="975">
        <f t="shared" si="16"/>
        <v>0</v>
      </c>
      <c r="AA21" s="975">
        <f t="shared" si="16"/>
        <v>364</v>
      </c>
      <c r="AB21" s="975">
        <f t="shared" si="16"/>
        <v>557</v>
      </c>
      <c r="AC21" s="975">
        <f t="shared" si="16"/>
        <v>393</v>
      </c>
      <c r="AD21" s="975">
        <f t="shared" si="16"/>
        <v>0</v>
      </c>
      <c r="AE21" s="977">
        <f t="shared" si="16"/>
        <v>0</v>
      </c>
      <c r="AF21" s="978">
        <f t="shared" si="16"/>
        <v>0</v>
      </c>
      <c r="AG21" s="979">
        <f t="shared" si="16"/>
        <v>0</v>
      </c>
      <c r="AH21" s="977">
        <f t="shared" si="16"/>
        <v>0</v>
      </c>
      <c r="AI21" s="967">
        <f t="shared" si="16"/>
        <v>43</v>
      </c>
      <c r="AJ21" s="967">
        <f t="shared" si="16"/>
        <v>0</v>
      </c>
      <c r="AK21" s="977">
        <f t="shared" si="16"/>
        <v>0</v>
      </c>
      <c r="AL21" s="1031">
        <f>IF(ISNUMBER(NºAsuntos!G21/NºAsuntos!E21),NºAsuntos!G21/NºAsuntos!E21," - ")</f>
        <v>0.92075471698113209</v>
      </c>
      <c r="AM21" s="1032">
        <f>IF(ISNUMBER(((NºAsuntos!I21/NºAsuntos!G21)*11)/factor_trimestre),((NºAsuntos!I21/NºAsuntos!G21)*11)/factor_trimestre," - ")</f>
        <v>6.4303278688524594</v>
      </c>
      <c r="AN21" s="1032">
        <f>IF(ISNUMBER('Resol  Asuntos'!D21/NºAsuntos!G21),'Resol  Asuntos'!D21/NºAsuntos!G21," - ")</f>
        <v>0.17622950819672131</v>
      </c>
      <c r="AO21" s="1033">
        <f>IF(ISNUMBER((NºAsuntos!C21+NºAsuntos!E21)/NºAsuntos!G21),(NºAsuntos!C21+NºAsuntos!E21)/NºAsuntos!G21," - ")</f>
        <v>3.1434426229508197</v>
      </c>
      <c r="AP21" s="1034" t="str">
        <f t="shared" si="2"/>
        <v xml:space="preserve"> - </v>
      </c>
      <c r="AQ21" s="1035">
        <f>IF(OR(ISNUMBER(FIND("01",Criterios!A8,1)),ISNUMBER(FIND("02",Criterios!A8,1)),ISNUMBER(FIND("03",Criterios!A8,1)),ISNUMBER(FIND("04",Criterios!A8,1))),(I21-W21+K21)/(F21-K21),(H21-W21+K21)/(F21-K21))</f>
        <v>-0.45704467353951889</v>
      </c>
      <c r="AR21" s="1036">
        <f>IF(ISNUMBER((Datos!P21-Datos!Q21)/(Datos!R21-Datos!P21+Datos!Q21)),(Datos!P21-Datos!Q21)/(Datos!R21-Datos!P21+Datos!Q21)," - ")</f>
        <v>5.415162454873646E-3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166.85422779580185</v>
      </c>
      <c r="G23" s="258">
        <f>IF(ISNUMBER(STDEV(G8:G20)),STDEV(G8:G20),"-")</f>
        <v>160.27226834359087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70.183331354389267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11.183320914051722</v>
      </c>
      <c r="AJ23" s="257">
        <f t="shared" si="20"/>
        <v>0</v>
      </c>
      <c r="AK23" s="259">
        <f t="shared" si="20"/>
        <v>0</v>
      </c>
      <c r="AL23" s="254">
        <f t="shared" si="20"/>
        <v>0.38251909498156178</v>
      </c>
      <c r="AM23" s="255">
        <f t="shared" si="20"/>
        <v>2.1818118858132873</v>
      </c>
      <c r="AN23" s="255">
        <f t="shared" si="20"/>
        <v>7.993965354988522E-2</v>
      </c>
      <c r="AO23" s="256">
        <f t="shared" si="20"/>
        <v>0.7272706286044256</v>
      </c>
      <c r="AP23" s="296" t="str">
        <f t="shared" si="20"/>
        <v>-</v>
      </c>
      <c r="AQ23" s="297">
        <f t="shared" si="20"/>
        <v>0.3242937996476235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nZH+mIDv/feOQCBparWQ15t8gTR28f8SFaA7AXlE+R3YUETtElj0wUVpGAWF4t6z0kAXExxGbJmFYn0amJnsw==" saltValue="lms5p7UvAR3IekVisq9y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PALENCIA</v>
      </c>
      <c r="E3" s="268"/>
    </row>
    <row r="4" spans="2:20" ht="17.25" customHeight="1" thickBot="1">
      <c r="D4" s="267" t="str">
        <f>Criterios!A11 &amp;"  "&amp;Criterios!B11</f>
        <v>Resumenes por Partidos Judiciales  CARRION DE LOS CONDES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-0.2857142857142857</v>
      </c>
      <c r="I12" s="360">
        <f>IF(ISNUMBER((Tasas!C12-Datos!BE12)/Datos!BE12),(Tasas!C12-Datos!BE12)/Datos!BE12," - ")</f>
        <v>2.4461170030790336E-2</v>
      </c>
      <c r="J12" s="359">
        <f>IF(ISNUMBER((Tasas!D12-Datos!BF12)/Datos!BF12),(Tasas!D12-Datos!BF12)/Datos!BF12," - ")</f>
        <v>-0.50340584486925954</v>
      </c>
      <c r="K12" s="361">
        <f>IF(ISNUMBER((Tasas!E12-Datos!BG12)/Datos!BG12),(Tasas!E12-Datos!BG12)/Datos!BG12," - ")</f>
        <v>1.4261493966291044E-2</v>
      </c>
      <c r="M12" t="e">
        <f>IF(Monitorios="SI",Datos!CE12,0)</f>
        <v>#REF!</v>
      </c>
      <c r="N12" t="e">
        <f>IF(Monitorios="SI",Datos!CF12,0)</f>
        <v>#REF!</v>
      </c>
      <c r="O12" t="e">
        <f>IF(Monitorios="SI",Datos!CG12,0)</f>
        <v>#REF!</v>
      </c>
      <c r="P12" t="e">
        <f>IF(Monitorios="SI",Datos!CH12,0)</f>
        <v>#REF!</v>
      </c>
      <c r="Q12">
        <f>IF(J_V="SI",0,Datos!AG12)</f>
        <v>10</v>
      </c>
      <c r="R12">
        <f>IF(J_V="SI",0,Datos!AH12)</f>
        <v>11</v>
      </c>
      <c r="S12">
        <f>IF(J_V="SI",0,Datos!AI12)</f>
        <v>12</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-0.2857142857142857</v>
      </c>
      <c r="I14" s="367">
        <f>IF(ISNUMBER((Tasas!C14-Datos!BE14)/Datos!BE14),(Tasas!C14-Datos!BE14)/Datos!BE14," - ")</f>
        <v>3.0904322043562537E-2</v>
      </c>
      <c r="J14" s="365">
        <f>IF(ISNUMBER((Tasas!D14-Datos!BF14)/Datos!BF14),(Tasas!D14-Datos!BF14)/Datos!BF14," - ")</f>
        <v>-0.50340584486925954</v>
      </c>
      <c r="K14" s="368">
        <f>IF(ISNUMBER((Tasas!E14-Datos!BG14)/Datos!BG14),(Tasas!E14-Datos!BG14)/Datos!BG14," - ")</f>
        <v>1.8018018018018011E-2</v>
      </c>
      <c r="M14" t="e">
        <f>IF(Monitorios="SI",Datos!CE14,0)</f>
        <v>#REF!</v>
      </c>
      <c r="N14" t="e">
        <f>IF(Monitorios="SI",Datos!CF14,0)</f>
        <v>#REF!</v>
      </c>
      <c r="O14" t="e">
        <f>IF(Monitorios="SI",Datos!CG14,0)</f>
        <v>#REF!</v>
      </c>
      <c r="P14" t="e">
        <f>IF(Monitorios="SI",Datos!CH14,0)</f>
        <v>#REF!</v>
      </c>
      <c r="Q14">
        <f>IF(J_V="SI",0,Datos!AG14)</f>
        <v>10</v>
      </c>
      <c r="R14">
        <f>IF(J_V="SI",0,Datos!AH14)</f>
        <v>11</v>
      </c>
      <c r="S14">
        <f>IF(J_V="SI",0,Datos!AI14)</f>
        <v>12</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0.48717948717948717</v>
      </c>
      <c r="E17" s="358">
        <f>IF(ISNUMBER(
   IF(D_I="SI",(Datos!J17-Datos!T17)/Datos!T17,(Datos!J17+Datos!AD17-(Datos!T17+Datos!AL17))/(Datos!T17+Datos!AL17))
     ),IF(D_I="SI",(Datos!J17-Datos!T17)/Datos!T17,(Datos!J17+Datos!AD17-(Datos!T17+Datos!AL17))/(Datos!T17+Datos!AL17))," - ")</f>
        <v>0.61946902654867253</v>
      </c>
      <c r="F17" s="358">
        <f>IF(ISNUMBER(
   IF(D_I="SI",(Datos!K17-Datos!U17)/Datos!U17,(Datos!K17+Datos!AE17-(Datos!U17+Datos!AM17))/(Datos!U17+Datos!AM17))
     ),IF(D_I="SI",(Datos!K17-Datos!U17)/Datos!U17,(Datos!K17+Datos!AE17-(Datos!U17+Datos!AM17))/(Datos!U17+Datos!AM17))," - ")</f>
        <v>1.6E-2</v>
      </c>
      <c r="G17" s="359">
        <f>IF(ISNUMBER(
   IF(D_I="SI",(Datos!L17-Datos!V17)/Datos!V17,(Datos!L17+Datos!AF17-(Datos!V17+Datos!AN17))/(Datos!V17+Datos!AN17))
     ),IF(D_I="SI",(Datos!L17-Datos!V17)/Datos!V17,(Datos!L17+Datos!AF17-(Datos!V17+Datos!AN17))/(Datos!V17+Datos!AN17))," - ")</f>
        <v>0.42386831275720166</v>
      </c>
      <c r="H17" s="235">
        <f>IF(ISNUMBER((Datos!M17-Datos!W17)/Datos!W17),(Datos!M17-Datos!W17)/Datos!W17," - ")</f>
        <v>0.76923076923076927</v>
      </c>
      <c r="I17" s="360">
        <f>IF(ISNUMBER((Tasas!C17-Datos!BE17)/Datos!BE17),(Tasas!C17-Datos!BE17)/Datos!BE17," - ")</f>
        <v>0.40144518972165522</v>
      </c>
      <c r="J17" s="359">
        <f>IF(ISNUMBER((Tasas!D17-Datos!BF17)/Datos!BF17),(Tasas!D17-Datos!BF17)/Datos!BF17," - ")</f>
        <v>0.74136886735311947</v>
      </c>
      <c r="K17" s="361">
        <f>IF(ISNUMBER((Tasas!E17-Datos!BG17)/Datos!BG17),(Tasas!E17-Datos!BG17)/Datos!BG17," - ")</f>
        <v>0.51152980877390331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v>
      </c>
      <c r="E18" s="358">
        <f>IF(ISNUMBER(
   IF(D_I="SI",(Datos!J18-Datos!T18)/Datos!T18,(Datos!J18+Datos!AD18-(Datos!T18+Datos!AL18))/(Datos!T18+Datos!AL18))
     ),IF(D_I="SI",(Datos!J18-Datos!T18)/Datos!T18,(Datos!J18+Datos!AD18-(Datos!T18+Datos!AL18))/(Datos!T18+Datos!AL18))," - ")</f>
        <v>-0.33333333333333331</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0.88888888888888884</v>
      </c>
      <c r="H18" s="235">
        <f>IF(ISNUMBER((Datos!M18-Datos!W18)/Datos!W18),(Datos!M18-Datos!W18)/Datos!W18," - ")</f>
        <v>-1</v>
      </c>
      <c r="I18" s="360">
        <f>IF(ISNUMBER((Tasas!C18-Datos!BE18)/Datos!BE18),(Tasas!C18-Datos!BE18)/Datos!BE18," - ")</f>
        <v>2.1481481481481484</v>
      </c>
      <c r="J18" s="359">
        <f>IF(ISNUMBER((Tasas!D18-Datos!BF18)/Datos!BF18),(Tasas!D18-Datos!BF18)/Datos!BF18," - ")</f>
        <v>-1</v>
      </c>
      <c r="K18" s="361">
        <f>IF(ISNUMBER((Tasas!E18-Datos!BG18)/Datos!BG18),(Tasas!E18-Datos!BG18)/Datos!BG18," - ")</f>
        <v>1.0175438596491231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0.4975609756097561</v>
      </c>
      <c r="E20" s="364">
        <f>IF(ISNUMBER(
   IF(D_I="SI",(Datos!J20-Datos!T20)/Datos!T20,(Datos!J20+Datos!AD20-(Datos!T20+Datos!AL20))/(Datos!T20+Datos!AL20))
     ),IF(D_I="SI",(Datos!J20-Datos!T20)/Datos!T20,(Datos!J20+Datos!AD20-(Datos!T20+Datos!AL20))/(Datos!T20+Datos!AL20))," - ")</f>
        <v>0.54918032786885251</v>
      </c>
      <c r="F20" s="364">
        <f>IF(ISNUMBER(
   IF(D_I="SI",(Datos!K20-Datos!U20)/Datos!U20,(Datos!K20+Datos!AE20-(Datos!U20+Datos!AM20))/(Datos!U20+Datos!AM20))
     ),IF(D_I="SI",(Datos!K20-Datos!U20)/Datos!U20,(Datos!K20+Datos!AE20-(Datos!U20+Datos!AM20))/(Datos!U20+Datos!AM20))," - ")</f>
        <v>-1.4814814814814815E-2</v>
      </c>
      <c r="G20" s="365">
        <f>IF(ISNUMBER(
   IF(D_I="SI",(Datos!L20-Datos!V20)/Datos!V20,(Datos!L20+Datos!AF20-(Datos!V20+Datos!AN20))/(Datos!V20+Datos!AN20))
     ),IF(D_I="SI",(Datos!L20-Datos!V20)/Datos!V20,(Datos!L20+Datos!AF20-(Datos!V20+Datos!AN20))/(Datos!V20+Datos!AN20))," - ")</f>
        <v>0.44047619047619047</v>
      </c>
      <c r="H20" s="366">
        <f>IF(ISNUMBER((Datos!M20-Datos!W20)/Datos!W20),(Datos!M20-Datos!W20)/Datos!W20," - ")</f>
        <v>0.6428571428571429</v>
      </c>
      <c r="I20" s="367">
        <f>IF(ISNUMBER((Tasas!C20-Datos!BE20)/Datos!BE20),(Tasas!C20-Datos!BE20)/Datos!BE20," - ")</f>
        <v>0.46213748657357667</v>
      </c>
      <c r="J20" s="365">
        <f>IF(ISNUMBER((Tasas!D20-Datos!BF20)/Datos!BF20),(Tasas!D20-Datos!BF20)/Datos!BF20," - ")</f>
        <v>0.66756176154672386</v>
      </c>
      <c r="K20" s="368">
        <f>IF(ISNUMBER((Tasas!E20-Datos!BG20)/Datos!BG20),(Tasas!E20-Datos!BG20)/Datos!BG20," - ")</f>
        <v>0.53962888873560044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0.47647058823529409</v>
      </c>
      <c r="E21" s="373">
        <f>IF(ISNUMBER(
   IF(J_V="SI",(Datos!J21-Datos!T21)/Datos!T21,(Datos!J21+Datos!Z21-(Datos!T21+Datos!AH21))/(Datos!T21+Datos!AH21))
     ),IF(J_V="SI",(Datos!J21-Datos!T21)/Datos!T21,(Datos!J21+Datos!Z21-(Datos!T21+Datos!AH21))/(Datos!T21+Datos!AH21))," - ")</f>
        <v>2.7131782945736434E-2</v>
      </c>
      <c r="F21" s="373">
        <f>IF(ISNUMBER(
   IF(J_V="SI",(Datos!K21-Datos!U21)/Datos!U21,(Datos!K21+Datos!AA21-(Datos!U21+Datos!AI21))/(Datos!U21+Datos!AI21))
     ),IF(J_V="SI",(Datos!K21-Datos!U21)/Datos!U21,(Datos!K21+Datos!AA21-(Datos!U21+Datos!AI21))/(Datos!U21+Datos!AI21))," - ")</f>
        <v>-1.6129032258064516E-2</v>
      </c>
      <c r="G21" s="374">
        <f>IF(ISNUMBER(
   IF(J_V="SI",(Datos!L21-Datos!V21)/Datos!V21,(Datos!L21+Datos!AB21-(Datos!V21+Datos!AJ21))/(Datos!V21+Datos!AJ21))
     ),IF(J_V="SI",(Datos!L21-Datos!V21)/Datos!V21,(Datos!L21+Datos!AB21-(Datos!V21+Datos!AJ21))/(Datos!V21+Datos!AJ21))," - ")</f>
        <v>0.275609756097561</v>
      </c>
      <c r="H21" s="375">
        <f>IF(ISNUMBER((Datos!M21-Datos!W21)/Datos!W21),(Datos!M21-Datos!W21)/Datos!W21," - ")</f>
        <v>2.3809523809523808E-2</v>
      </c>
      <c r="I21" s="372">
        <f>IF(ISNUMBER((Tasas!C21-Datos!BE21)/Datos!BE21),(Tasas!C21-Datos!BE21)/Datos!BE21," - ")</f>
        <v>0.29652139144342254</v>
      </c>
      <c r="J21" s="373">
        <f>IF(ISNUMBER((Tasas!D21-Datos!BF21)/Datos!BF21),(Tasas!D21-Datos!BF21)/Datos!BF21," - ")</f>
        <v>-0.20536512667660206</v>
      </c>
      <c r="K21" s="374">
        <f>IF(ISNUMBER((Tasas!E21-Datos!BG21)/Datos!BG21),(Tasas!E21-Datos!BG21)/Datos!BG21," - ")</f>
        <v>0.30363506771204568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0.11998743307480683</v>
      </c>
      <c r="E23" s="283">
        <f t="shared" si="1"/>
        <v>0.53097445016486877</v>
      </c>
      <c r="F23" s="283">
        <f t="shared" si="1"/>
        <v>0.23179487328894083</v>
      </c>
      <c r="G23" s="284">
        <f t="shared" si="1"/>
        <v>0.26381619419775726</v>
      </c>
      <c r="H23" s="290">
        <f t="shared" si="1"/>
        <v>0.73538573201967217</v>
      </c>
      <c r="I23" s="282">
        <f t="shared" si="1"/>
        <v>0.88167556763251009</v>
      </c>
      <c r="J23" s="283">
        <f t="shared" si="1"/>
        <v>0.77952053207002858</v>
      </c>
      <c r="K23" s="284">
        <f t="shared" si="1"/>
        <v>0.42010727717552726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xoC8CEIu7FIalEk+awBZFn3lcttEgZmrEVz/VHzSFr3VQ0jadmLQx4MAyF9gj82tLRlqfDv7pZyNptRW5CPQw==" saltValue="W+uF0Lx9LSBdrQMzp0E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